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jeyachelvan/Desktop/New Templates/"/>
    </mc:Choice>
  </mc:AlternateContent>
  <xr:revisionPtr revIDLastSave="0" documentId="8_{63F3A783-5BCE-DB4C-A7C2-B4CD349CAA11}" xr6:coauthVersionLast="47" xr6:coauthVersionMax="47" xr10:uidLastSave="{00000000-0000-0000-0000-000000000000}"/>
  <bookViews>
    <workbookView xWindow="0" yWindow="760" windowWidth="29040" windowHeight="15840" xr2:uid="{A0155BAA-DE29-4097-8F84-F10B339455DF}"/>
  </bookViews>
  <sheets>
    <sheet name="Instructions" sheetId="6" r:id="rId1"/>
    <sheet name="Product Construction" sheetId="7" r:id="rId2"/>
    <sheet name="Bill of Materials" sheetId="8" r:id="rId3"/>
  </sheets>
  <definedNames>
    <definedName name="Sel_Product">'Bill of Materials'!$C$2</definedName>
    <definedName name="Sel_Year">'Product Construction'!$C$2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7" l="1"/>
  <c r="H4" i="7"/>
  <c r="G4" i="7"/>
  <c r="F4" i="7"/>
  <c r="E4" i="7"/>
  <c r="F24" i="8"/>
  <c r="B39" i="8"/>
  <c r="B40" i="8"/>
  <c r="B41" i="8"/>
  <c r="B42" i="8"/>
  <c r="B38" i="8"/>
  <c r="B32" i="8"/>
  <c r="B33" i="8"/>
  <c r="B34" i="8"/>
  <c r="B35" i="8"/>
  <c r="B31" i="8"/>
  <c r="B25" i="8"/>
  <c r="B26" i="8"/>
  <c r="B27" i="8"/>
  <c r="B28" i="8"/>
  <c r="B24" i="8"/>
  <c r="B42" i="7"/>
  <c r="B43" i="7"/>
  <c r="B41" i="7"/>
  <c r="B40" i="7"/>
  <c r="B37" i="7"/>
  <c r="B38" i="7"/>
  <c r="B36" i="7"/>
  <c r="B35" i="7"/>
  <c r="B32" i="7"/>
  <c r="B33" i="7"/>
  <c r="B31" i="7"/>
  <c r="B30" i="7"/>
  <c r="B29" i="7"/>
  <c r="B23" i="7"/>
  <c r="B24" i="7"/>
  <c r="B25" i="7"/>
  <c r="B26" i="7"/>
  <c r="B22" i="7"/>
  <c r="B18" i="7"/>
  <c r="B19" i="7"/>
  <c r="B17" i="7"/>
  <c r="B16" i="7"/>
  <c r="B13" i="7"/>
  <c r="B14" i="7"/>
  <c r="B12" i="7"/>
  <c r="B11" i="7"/>
  <c r="B8" i="7"/>
  <c r="B9" i="7"/>
  <c r="B7" i="7"/>
  <c r="B6" i="7"/>
  <c r="B5" i="7"/>
  <c r="W2" i="8"/>
  <c r="V2" i="8"/>
  <c r="R2" i="8"/>
  <c r="N2" i="8"/>
  <c r="J2" i="8"/>
  <c r="U2" i="8"/>
  <c r="T2" i="8"/>
  <c r="S2" i="8"/>
  <c r="Q2" i="8"/>
  <c r="P2" i="8"/>
  <c r="O2" i="8"/>
  <c r="M2" i="8"/>
  <c r="L2" i="8"/>
  <c r="K2" i="8"/>
  <c r="F28" i="8"/>
  <c r="F27" i="8"/>
  <c r="F26" i="8"/>
  <c r="F25" i="8"/>
  <c r="I2" i="8"/>
  <c r="H2" i="8"/>
  <c r="G2" i="8"/>
  <c r="P28" i="7"/>
  <c r="O28" i="7"/>
  <c r="N28" i="7"/>
  <c r="M28" i="7"/>
  <c r="L28" i="7"/>
  <c r="K28" i="7"/>
  <c r="J28" i="7"/>
  <c r="I28" i="7"/>
  <c r="H28" i="7"/>
  <c r="G28" i="7"/>
  <c r="F28" i="7"/>
  <c r="E28" i="7"/>
  <c r="P21" i="7"/>
  <c r="O21" i="7"/>
  <c r="N21" i="7"/>
  <c r="M21" i="7"/>
  <c r="L21" i="7"/>
  <c r="K21" i="7"/>
  <c r="J21" i="7"/>
  <c r="I21" i="7"/>
  <c r="H21" i="7"/>
  <c r="G21" i="7"/>
  <c r="F21" i="7"/>
  <c r="E21" i="7"/>
  <c r="F29" i="7"/>
  <c r="G29" i="7"/>
  <c r="H29" i="7"/>
  <c r="I29" i="7"/>
  <c r="J29" i="7"/>
  <c r="K29" i="7"/>
  <c r="L29" i="7"/>
  <c r="M29" i="7"/>
  <c r="N29" i="7"/>
  <c r="O29" i="7"/>
  <c r="P29" i="7"/>
  <c r="E29" i="7"/>
  <c r="K40" i="7"/>
  <c r="I40" i="7"/>
  <c r="O35" i="7"/>
  <c r="M35" i="7"/>
  <c r="G35" i="7"/>
  <c r="E35" i="7"/>
  <c r="K30" i="7"/>
  <c r="M30" i="7"/>
  <c r="P43" i="7"/>
  <c r="O43" i="7"/>
  <c r="N43" i="7"/>
  <c r="M43" i="7"/>
  <c r="L43" i="7"/>
  <c r="K43" i="7"/>
  <c r="J43" i="7"/>
  <c r="I43" i="7"/>
  <c r="H43" i="7"/>
  <c r="G43" i="7"/>
  <c r="F43" i="7"/>
  <c r="E43" i="7"/>
  <c r="P42" i="7"/>
  <c r="O42" i="7"/>
  <c r="N42" i="7"/>
  <c r="M42" i="7"/>
  <c r="L42" i="7"/>
  <c r="K42" i="7"/>
  <c r="J42" i="7"/>
  <c r="I42" i="7"/>
  <c r="H42" i="7"/>
  <c r="G42" i="7"/>
  <c r="F42" i="7"/>
  <c r="E42" i="7"/>
  <c r="P41" i="7"/>
  <c r="P40" i="7" s="1"/>
  <c r="O41" i="7"/>
  <c r="O40" i="7" s="1"/>
  <c r="N41" i="7"/>
  <c r="N40" i="7" s="1"/>
  <c r="M41" i="7"/>
  <c r="M40" i="7" s="1"/>
  <c r="L41" i="7"/>
  <c r="L40" i="7" s="1"/>
  <c r="K41" i="7"/>
  <c r="J41" i="7"/>
  <c r="J40" i="7" s="1"/>
  <c r="I41" i="7"/>
  <c r="H41" i="7"/>
  <c r="H40" i="7" s="1"/>
  <c r="G41" i="7"/>
  <c r="G40" i="7" s="1"/>
  <c r="F41" i="7"/>
  <c r="F40" i="7" s="1"/>
  <c r="E41" i="7"/>
  <c r="E40" i="7" s="1"/>
  <c r="P38" i="7"/>
  <c r="O38" i="7"/>
  <c r="N38" i="7"/>
  <c r="M38" i="7"/>
  <c r="L38" i="7"/>
  <c r="K38" i="7"/>
  <c r="J38" i="7"/>
  <c r="I38" i="7"/>
  <c r="H38" i="7"/>
  <c r="G38" i="7"/>
  <c r="F38" i="7"/>
  <c r="E38" i="7"/>
  <c r="P37" i="7"/>
  <c r="O37" i="7"/>
  <c r="N37" i="7"/>
  <c r="M37" i="7"/>
  <c r="L37" i="7"/>
  <c r="K37" i="7"/>
  <c r="J37" i="7"/>
  <c r="I37" i="7"/>
  <c r="H37" i="7"/>
  <c r="G37" i="7"/>
  <c r="F37" i="7"/>
  <c r="E37" i="7"/>
  <c r="P36" i="7"/>
  <c r="P35" i="7" s="1"/>
  <c r="O36" i="7"/>
  <c r="N36" i="7"/>
  <c r="N35" i="7" s="1"/>
  <c r="M36" i="7"/>
  <c r="L36" i="7"/>
  <c r="L35" i="7" s="1"/>
  <c r="K36" i="7"/>
  <c r="K35" i="7" s="1"/>
  <c r="J36" i="7"/>
  <c r="J35" i="7" s="1"/>
  <c r="I36" i="7"/>
  <c r="I35" i="7" s="1"/>
  <c r="H36" i="7"/>
  <c r="H35" i="7" s="1"/>
  <c r="G36" i="7"/>
  <c r="F36" i="7"/>
  <c r="F35" i="7" s="1"/>
  <c r="E36" i="7"/>
  <c r="F31" i="7"/>
  <c r="F30" i="7" s="1"/>
  <c r="G31" i="7"/>
  <c r="G30" i="7" s="1"/>
  <c r="H31" i="7"/>
  <c r="H30" i="7" s="1"/>
  <c r="I31" i="7"/>
  <c r="I30" i="7" s="1"/>
  <c r="J31" i="7"/>
  <c r="J30" i="7" s="1"/>
  <c r="K31" i="7"/>
  <c r="L31" i="7"/>
  <c r="L30" i="7" s="1"/>
  <c r="M31" i="7"/>
  <c r="N31" i="7"/>
  <c r="N30" i="7" s="1"/>
  <c r="O31" i="7"/>
  <c r="O30" i="7" s="1"/>
  <c r="P31" i="7"/>
  <c r="P30" i="7" s="1"/>
  <c r="F32" i="7"/>
  <c r="G32" i="7"/>
  <c r="H32" i="7"/>
  <c r="I32" i="7"/>
  <c r="J32" i="7"/>
  <c r="K32" i="7"/>
  <c r="L32" i="7"/>
  <c r="M32" i="7"/>
  <c r="N32" i="7"/>
  <c r="O32" i="7"/>
  <c r="P32" i="7"/>
  <c r="F33" i="7"/>
  <c r="G33" i="7"/>
  <c r="H33" i="7"/>
  <c r="I33" i="7"/>
  <c r="J33" i="7"/>
  <c r="K33" i="7"/>
  <c r="L33" i="7"/>
  <c r="M33" i="7"/>
  <c r="N33" i="7"/>
  <c r="O33" i="7"/>
  <c r="P33" i="7"/>
  <c r="E32" i="7"/>
  <c r="E33" i="7"/>
  <c r="E31" i="7"/>
  <c r="E30" i="7" s="1"/>
  <c r="V21" i="8" l="1"/>
  <c r="R21" i="8"/>
  <c r="N21" i="8"/>
  <c r="J21" i="8"/>
  <c r="I16" i="7"/>
  <c r="H16" i="7"/>
  <c r="G16" i="7"/>
  <c r="F16" i="7"/>
  <c r="E16" i="7"/>
  <c r="I11" i="7"/>
  <c r="H11" i="7"/>
  <c r="G11" i="7"/>
  <c r="F11" i="7"/>
  <c r="E11" i="7"/>
  <c r="F6" i="7"/>
  <c r="G6" i="7"/>
  <c r="G5" i="7" s="1"/>
  <c r="H6" i="7"/>
  <c r="I6" i="7"/>
  <c r="E6" i="7"/>
  <c r="W21" i="8" l="1"/>
  <c r="L35" i="8"/>
  <c r="L42" i="8" s="1"/>
  <c r="I5" i="7"/>
  <c r="F5" i="7"/>
  <c r="E5" i="7"/>
  <c r="M34" i="8"/>
  <c r="M41" i="8" s="1"/>
  <c r="H5" i="7"/>
  <c r="G32" i="8"/>
  <c r="L31" i="8"/>
  <c r="L38" i="8" s="1"/>
  <c r="S33" i="8"/>
  <c r="S35" i="8"/>
  <c r="U33" i="8"/>
  <c r="U40" i="8" s="1"/>
  <c r="M33" i="8"/>
  <c r="M40" i="8" s="1"/>
  <c r="K33" i="8"/>
  <c r="T33" i="8"/>
  <c r="T40" i="8" s="1"/>
  <c r="L33" i="8"/>
  <c r="L40" i="8" s="1"/>
  <c r="H34" i="8"/>
  <c r="H41" i="8" s="1"/>
  <c r="Q33" i="8"/>
  <c r="Q40" i="8" s="1"/>
  <c r="I33" i="8"/>
  <c r="I40" i="8" s="1"/>
  <c r="P33" i="8"/>
  <c r="P40" i="8" s="1"/>
  <c r="H33" i="8"/>
  <c r="H40" i="8" s="1"/>
  <c r="O33" i="8"/>
  <c r="G33" i="8"/>
  <c r="P35" i="8" l="1"/>
  <c r="P42" i="8" s="1"/>
  <c r="I35" i="8"/>
  <c r="I42" i="8" s="1"/>
  <c r="P34" i="8"/>
  <c r="P41" i="8" s="1"/>
  <c r="M35" i="8"/>
  <c r="M42" i="8" s="1"/>
  <c r="G35" i="8"/>
  <c r="G42" i="8" s="1"/>
  <c r="T35" i="8"/>
  <c r="T42" i="8" s="1"/>
  <c r="U35" i="8"/>
  <c r="U42" i="8" s="1"/>
  <c r="O35" i="8"/>
  <c r="O42" i="8" s="1"/>
  <c r="K35" i="8"/>
  <c r="H35" i="8"/>
  <c r="H42" i="8" s="1"/>
  <c r="Q35" i="8"/>
  <c r="Q42" i="8" s="1"/>
  <c r="K34" i="8"/>
  <c r="K41" i="8" s="1"/>
  <c r="S34" i="8"/>
  <c r="S41" i="8" s="1"/>
  <c r="L34" i="8"/>
  <c r="L41" i="8" s="1"/>
  <c r="U34" i="8"/>
  <c r="U41" i="8" s="1"/>
  <c r="G34" i="8"/>
  <c r="G41" i="8" s="1"/>
  <c r="I34" i="8"/>
  <c r="I41" i="8" s="1"/>
  <c r="T34" i="8"/>
  <c r="T41" i="8" s="1"/>
  <c r="O34" i="8"/>
  <c r="O41" i="8" s="1"/>
  <c r="Q34" i="8"/>
  <c r="Q41" i="8" s="1"/>
  <c r="S40" i="8"/>
  <c r="V40" i="8" s="1"/>
  <c r="V33" i="8"/>
  <c r="G40" i="8"/>
  <c r="J40" i="8" s="1"/>
  <c r="J33" i="8"/>
  <c r="S42" i="8"/>
  <c r="K40" i="8"/>
  <c r="N40" i="8" s="1"/>
  <c r="N33" i="8"/>
  <c r="R33" i="8"/>
  <c r="O40" i="8"/>
  <c r="R40" i="8" s="1"/>
  <c r="G39" i="8"/>
  <c r="P31" i="8"/>
  <c r="P38" i="8" s="1"/>
  <c r="U32" i="8"/>
  <c r="U39" i="8" s="1"/>
  <c r="S32" i="8"/>
  <c r="H32" i="8"/>
  <c r="H39" i="8" s="1"/>
  <c r="P32" i="8"/>
  <c r="P39" i="8" s="1"/>
  <c r="U31" i="8"/>
  <c r="Q32" i="8"/>
  <c r="Q39" i="8" s="1"/>
  <c r="O32" i="8"/>
  <c r="K32" i="8"/>
  <c r="H31" i="8"/>
  <c r="T32" i="8"/>
  <c r="T39" i="8" s="1"/>
  <c r="I32" i="8"/>
  <c r="I39" i="8" s="1"/>
  <c r="L32" i="8"/>
  <c r="L39" i="8" s="1"/>
  <c r="M32" i="8"/>
  <c r="M39" i="8" s="1"/>
  <c r="K31" i="8"/>
  <c r="T31" i="8"/>
  <c r="Q31" i="8"/>
  <c r="O31" i="8"/>
  <c r="S31" i="8"/>
  <c r="G31" i="8"/>
  <c r="M31" i="8"/>
  <c r="I31" i="8"/>
  <c r="J35" i="8" l="1"/>
  <c r="V41" i="8"/>
  <c r="R42" i="8"/>
  <c r="V34" i="8"/>
  <c r="V35" i="8"/>
  <c r="V42" i="8"/>
  <c r="R35" i="8"/>
  <c r="J42" i="8"/>
  <c r="N35" i="8"/>
  <c r="N41" i="8"/>
  <c r="R41" i="8"/>
  <c r="L43" i="8"/>
  <c r="N34" i="8"/>
  <c r="K42" i="8"/>
  <c r="N42" i="8" s="1"/>
  <c r="R34" i="8"/>
  <c r="J34" i="8"/>
  <c r="J41" i="8"/>
  <c r="P43" i="8"/>
  <c r="J32" i="8"/>
  <c r="J39" i="8"/>
  <c r="G38" i="8"/>
  <c r="J31" i="8"/>
  <c r="W40" i="8"/>
  <c r="R32" i="8"/>
  <c r="O39" i="8"/>
  <c r="R39" i="8" s="1"/>
  <c r="V31" i="8"/>
  <c r="S38" i="8"/>
  <c r="U38" i="8"/>
  <c r="U43" i="8" s="1"/>
  <c r="Q38" i="8"/>
  <c r="Q43" i="8" s="1"/>
  <c r="N32" i="8"/>
  <c r="K39" i="8"/>
  <c r="N39" i="8" s="1"/>
  <c r="O38" i="8"/>
  <c r="R31" i="8"/>
  <c r="I38" i="8"/>
  <c r="I43" i="8" s="1"/>
  <c r="S39" i="8"/>
  <c r="V39" i="8" s="1"/>
  <c r="V32" i="8"/>
  <c r="N31" i="8"/>
  <c r="K38" i="8"/>
  <c r="T38" i="8"/>
  <c r="T43" i="8" s="1"/>
  <c r="M38" i="8"/>
  <c r="M43" i="8" s="1"/>
  <c r="H38" i="8"/>
  <c r="H43" i="8" s="1"/>
  <c r="W33" i="8"/>
  <c r="W41" i="8" l="1"/>
  <c r="W35" i="8"/>
  <c r="W42" i="8"/>
  <c r="W34" i="8"/>
  <c r="K43" i="8"/>
  <c r="W32" i="8"/>
  <c r="W39" i="8"/>
  <c r="S43" i="8"/>
  <c r="R38" i="8"/>
  <c r="R43" i="8" s="1"/>
  <c r="W31" i="8"/>
  <c r="J38" i="8"/>
  <c r="V38" i="8"/>
  <c r="V43" i="8" s="1"/>
  <c r="O43" i="8"/>
  <c r="G43" i="8"/>
  <c r="N38" i="8"/>
  <c r="N43" i="8" s="1"/>
  <c r="W38" i="8" l="1"/>
  <c r="W43" i="8" s="1"/>
  <c r="J43" i="8"/>
</calcChain>
</file>

<file path=xl/sharedStrings.xml><?xml version="1.0" encoding="utf-8"?>
<sst xmlns="http://schemas.openxmlformats.org/spreadsheetml/2006/main" count="60" uniqueCount="49">
  <si>
    <t>Instructions</t>
  </si>
  <si>
    <t>Using Vena Excel Templates in 'Basic' Excel</t>
  </si>
  <si>
    <t>Apply your own colors &amp; branding</t>
  </si>
  <si>
    <t>Go to 'Page Layout', then 'Themes' to select from other color formats and fonts.</t>
  </si>
  <si>
    <t>Go to 'Home', then 'Cell styles' to reformat the appearance and colors of different included cell types.</t>
  </si>
  <si>
    <t>Combine with other Entities / Departments / Cost Centers / Profit Centers</t>
  </si>
  <si>
    <t>Aggregate sheets together using excel logic</t>
  </si>
  <si>
    <t>Product Construction</t>
  </si>
  <si>
    <t>Material 1</t>
  </si>
  <si>
    <t>Material 2</t>
  </si>
  <si>
    <t>Material 3</t>
  </si>
  <si>
    <t>Material 4</t>
  </si>
  <si>
    <t>Material 5</t>
  </si>
  <si>
    <t>Product Configuration</t>
  </si>
  <si>
    <t>Product Category 1</t>
  </si>
  <si>
    <t>Product 1</t>
  </si>
  <si>
    <t>Product 2</t>
  </si>
  <si>
    <t>Product 3</t>
  </si>
  <si>
    <t>Product Category 2</t>
  </si>
  <si>
    <t>Product 4</t>
  </si>
  <si>
    <t>Product 5</t>
  </si>
  <si>
    <t>Product 6</t>
  </si>
  <si>
    <t>Product Category 3</t>
  </si>
  <si>
    <t>Product 7</t>
  </si>
  <si>
    <t>Product 8</t>
  </si>
  <si>
    <t>Product 9</t>
  </si>
  <si>
    <t>Bill of Materials</t>
  </si>
  <si>
    <t>UOM</t>
  </si>
  <si>
    <t>Predicted Production</t>
  </si>
  <si>
    <t>Production Limit</t>
  </si>
  <si>
    <t>EA</t>
  </si>
  <si>
    <t>Per Unit Material</t>
  </si>
  <si>
    <t>kg</t>
  </si>
  <si>
    <t>Product:</t>
  </si>
  <si>
    <t>Total Required Materials</t>
  </si>
  <si>
    <t>Total Material Cost</t>
  </si>
  <si>
    <t>Totals</t>
  </si>
  <si>
    <t xml:space="preserve">Year: </t>
  </si>
  <si>
    <t>Total Cost per Product</t>
  </si>
  <si>
    <t>Material Cost by kg ($)</t>
  </si>
  <si>
    <t>All Products</t>
  </si>
  <si>
    <t>Construct a Bill of Materials</t>
  </si>
  <si>
    <t>Contact a Vena rep to learn more about automatically aggregating your total materials required and total material costs.</t>
  </si>
  <si>
    <t>On the Product Construction tab, add the product configurations and material costs by month to calculate the total cost per product.</t>
  </si>
  <si>
    <t>On the Bill of Materials tab, select the product(s) that you like to consider and input the monthly predicted production limit.</t>
  </si>
  <si>
    <t>Use the calculated total materials required and total material cost to plan your business operations.</t>
  </si>
  <si>
    <t>Product List</t>
  </si>
  <si>
    <t>Material List</t>
  </si>
  <si>
    <t>Add all products/materials you are planning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</si>
</sst>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#;\(&quot;$&quot;#,###\)\ "/>
    <numFmt numFmtId="167" formatCode="&quot;$&quot;#,###,&quot;k&quot;;\(&quot;$&quot;#,###,&quot;k&quot;\)\ "/>
    <numFmt numFmtId="168" formatCode="&quot;$&quot;#,###,,&quot;m&quot;;\(&quot;$&quot;#,###,,&quot;m&quot;\)"/>
    <numFmt numFmtId="169" formatCode="[$-409]\ mmm\ yy;@"/>
    <numFmt numFmtId="170" formatCode="[Color53]\(0\);[Color53]\(0\);&quot;&quot;;[Color53]@"/>
    <numFmt numFmtId="171" formatCode="[$-409]\ mmm\ ;@"/>
    <numFmt numFmtId="172" formatCode="_(* #,##0_);_(* \(#,##0\);_(* &quot;-&quot;_);@\ "/>
    <numFmt numFmtId="173" formatCode="_(* #,##0_);_(* \(#,##0\);_(* &quot;-&quot;_);@"/>
    <numFmt numFmtId="174" formatCode="\ #&quot;▾&quot;;\ \-#&quot;▾&quot;;\ &quot;▾&quot;;@&quot;▾&quot;"/>
    <numFmt numFmtId="175" formatCode="[Color53]&quot;▴&quot;&quot;$&quot;#,###,&quot;k&quot;;[Color10]&quot;▾&quot;&quot;$&quot;#,###,&quot;k&quot;;\ &quot;-&quot;\ ;@"/>
    <numFmt numFmtId="176" formatCode="[Color10]&quot;▴&quot;&quot;$&quot;#,###,&quot;k&quot;;[Color53]&quot;▾&quot;&quot;$&quot;#,###,&quot;k&quot;;\ &quot;-&quot;\ ;@"/>
    <numFmt numFmtId="177" formatCode="&quot;Total Rows:&quot;\ #;&quot;Total Rows:&quot;\ \-#;&quot;&quot;;@"/>
    <numFmt numFmtId="178" formatCode="\ &quot;Active&quot;\ 0;&quot;&quot;;\ &quot;None&quot;;@"/>
    <numFmt numFmtId="179" formatCode="_(* #,##0.0%_);_(* \(#,##0.0%\);_(* &quot;-&quot;_);@"/>
    <numFmt numFmtId="180" formatCode="[$-409]mmm/d/yyyy;"/>
    <numFmt numFmtId="181" formatCode="\ 0\ &quot;Days&quot;;[Color53]\ \-0\ &quot;Days&quot;;[Color53]\ &quot;Immediate&quot;;@"/>
    <numFmt numFmtId="182" formatCode="\ #&quot;▾&quot;;\ \-#&quot;▾&quot;;&quot;▾&quot;;@&quot;▾&quot;"/>
    <numFmt numFmtId="183" formatCode="[Color53]\✗;#;[Color15]\✓;@"/>
    <numFmt numFmtId="184" formatCode="_(* #,##0_);_(* \(#,##0\);_(* &quot;-&quot;_);\ &quot;•&quot;\ @"/>
    <numFmt numFmtId="185" formatCode="[Color53]&quot;▴&quot;#,###;[Color10]&quot;▾&quot;#,###;&quot;&quot;;@"/>
    <numFmt numFmtId="186" formatCode="[Color10]&quot;▴&quot;#,###;[Color53]&quot;▾&quot;#,###;&quot;&quot;;@"/>
    <numFmt numFmtId="187" formatCode="_(* #,##0_);_(* \(#,##0\);_(* &quot;-&quot;_);\ @\ "/>
    <numFmt numFmtId="188" formatCode="_(* #,##0_);_(* \(#,##0\);_(* &quot;-&quot;_);&quot;▸&quot;\ @"/>
    <numFmt numFmtId="189" formatCode="\(0\)\ ;&quot;&quot;\ ;&quot;&quot;\ ;&quot;&quot;\ @"/>
    <numFmt numFmtId="190" formatCode="_-&quot;$&quot;* #,##0_-;\-&quot;$&quot;* #,##0_-;_-&quot;$&quot;* &quot;-&quot;??_-;_-@_-"/>
    <numFmt numFmtId="191" formatCode="_(* #,##0.00_);_(* \(#,##0.00\);_(* &quot;-&quot;_);_(@_)"/>
    <numFmt numFmtId="192" formatCode="_(* #,##0.0_);_(* \(#,##0.0\);_(* &quot;-&quot;_);_(@_)"/>
  </numFmts>
  <fonts count="34" x14ac:knownFonts="1">
    <font>
      <sz val="9"/>
      <color theme="1" tint="0.39994506668294322"/>
      <name val="Arial Nova"/>
      <family val="2"/>
      <scheme val="minor"/>
    </font>
    <font>
      <sz val="18"/>
      <color theme="3"/>
      <name val="Franklin Gothic Medium Cond"/>
      <family val="2"/>
      <scheme val="major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b/>
      <sz val="16"/>
      <color theme="1"/>
      <name val="Arial Nova"/>
      <family val="2"/>
      <scheme val="minor"/>
    </font>
    <font>
      <sz val="9"/>
      <color theme="1" tint="0.39994506668294322"/>
      <name val="Arial Nova"/>
      <family val="2"/>
      <scheme val="minor"/>
    </font>
    <font>
      <sz val="10"/>
      <color theme="0"/>
      <name val="Franklin Gothic Medium Cond"/>
      <family val="2"/>
      <scheme val="major"/>
    </font>
    <font>
      <sz val="11"/>
      <color theme="0"/>
      <name val="Franklin Gothic Medium Cond"/>
      <family val="2"/>
      <scheme val="major"/>
    </font>
    <font>
      <sz val="9"/>
      <color theme="1"/>
      <name val="Arial Nova"/>
      <family val="2"/>
      <scheme val="minor"/>
    </font>
    <font>
      <sz val="9.5"/>
      <color theme="0"/>
      <name val="Franklin Gothic Medium Cond"/>
      <family val="2"/>
      <scheme val="major"/>
    </font>
    <font>
      <b/>
      <sz val="22"/>
      <color theme="0"/>
      <name val="Franklin Gothic Medium Cond"/>
      <family val="2"/>
      <scheme val="major"/>
    </font>
    <font>
      <sz val="14"/>
      <color theme="0"/>
      <name val="Franklin Gothic Medium Cond"/>
      <family val="2"/>
      <scheme val="major"/>
    </font>
    <font>
      <sz val="9"/>
      <color theme="1" tint="0.39994506668294322"/>
      <name val="Arial Nova"/>
      <family val="5"/>
      <scheme val="minor"/>
    </font>
    <font>
      <sz val="10"/>
      <color theme="1" tint="0.39991454817346722"/>
      <name val="Franklin Gothic Medium Cond"/>
      <family val="2"/>
      <scheme val="major"/>
    </font>
    <font>
      <b/>
      <sz val="11"/>
      <color theme="1" tint="0.39994506668294322"/>
      <name val="Arial Nova"/>
      <family val="2"/>
      <scheme val="minor"/>
    </font>
    <font>
      <sz val="15"/>
      <color theme="1"/>
      <name val="Franklin Gothic Medium Cond"/>
      <family val="2"/>
      <scheme val="major"/>
    </font>
    <font>
      <b/>
      <sz val="9"/>
      <color theme="1"/>
      <name val="Arial Nova"/>
      <family val="2"/>
      <scheme val="minor"/>
    </font>
    <font>
      <b/>
      <sz val="9.5"/>
      <color theme="1"/>
      <name val="Arial Nova"/>
      <family val="2"/>
      <scheme val="minor"/>
    </font>
    <font>
      <sz val="9"/>
      <color theme="0"/>
      <name val="Arial Nova"/>
      <family val="2"/>
      <scheme val="minor"/>
    </font>
    <font>
      <b/>
      <sz val="8"/>
      <color theme="1" tint="0.39994506668294322"/>
      <name val="Arial Nova"/>
      <family val="2"/>
      <scheme val="minor"/>
    </font>
    <font>
      <sz val="9"/>
      <color theme="4"/>
      <name val="Arial Nova"/>
      <family val="2"/>
      <scheme val="minor"/>
    </font>
    <font>
      <b/>
      <sz val="9"/>
      <color theme="3"/>
      <name val="Arial Nova"/>
      <family val="2"/>
      <scheme val="minor"/>
    </font>
    <font>
      <sz val="18"/>
      <color theme="4"/>
      <name val="Franklin Gothic Medium Cond"/>
      <family val="2"/>
      <scheme val="major"/>
    </font>
    <font>
      <sz val="14"/>
      <color theme="1"/>
      <name val="Franklin Gothic Medium Cond"/>
      <family val="2"/>
      <scheme val="major"/>
    </font>
    <font>
      <b/>
      <sz val="24"/>
      <color theme="3"/>
      <name val="Franklin Gothic Medium Cond"/>
      <family val="2"/>
      <scheme val="major"/>
    </font>
    <font>
      <b/>
      <sz val="9.5"/>
      <color theme="0"/>
      <name val="Arial Nova"/>
      <family val="2"/>
      <scheme val="minor"/>
    </font>
    <font>
      <sz val="10"/>
      <color theme="1"/>
      <name val="Franklin Gothic Medium Cond"/>
      <family val="2"/>
      <scheme val="major"/>
    </font>
    <font>
      <sz val="11"/>
      <color theme="1" tint="0.39994506668294322"/>
      <name val="Franklin Gothic Medium Cond"/>
      <family val="2"/>
      <scheme val="major"/>
    </font>
    <font>
      <sz val="9"/>
      <color theme="1" tint="0.34998626667073579"/>
      <name val="Arial Nova"/>
      <family val="2"/>
      <scheme val="minor"/>
    </font>
    <font>
      <sz val="8"/>
      <name val="Arial Nova"/>
      <family val="2"/>
      <scheme val="minor"/>
    </font>
    <font>
      <sz val="9.5"/>
      <color theme="0"/>
      <name val="Arial Nova"/>
      <family val="2"/>
      <scheme val="minor"/>
    </font>
    <font>
      <b/>
      <sz val="11"/>
      <color theme="1"/>
      <name val="Arial Nova"/>
      <family val="2"/>
      <scheme val="minor"/>
    </font>
    <font>
      <b/>
      <sz val="10"/>
      <color theme="1"/>
      <name val="Arial Nova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4659260841701"/>
        <bgColor theme="3"/>
      </patternFill>
    </fill>
    <fill>
      <patternFill patternType="solid">
        <fgColor theme="3"/>
        <bgColor theme="3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4659260841701"/>
        <bgColor indexed="64"/>
      </patternFill>
    </fill>
    <fill>
      <gradientFill degree="90">
        <stop position="0">
          <color theme="0"/>
        </stop>
        <stop position="1">
          <color theme="2" tint="0.80001220740379042"/>
        </stop>
      </gradient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gradientFill degree="90">
        <stop position="0">
          <color theme="0" tint="-5.0965910824915313E-2"/>
        </stop>
        <stop position="1">
          <color theme="2" tint="0.80001220740379042"/>
        </stop>
      </gradientFill>
    </fill>
    <fill>
      <patternFill patternType="solid">
        <fgColor theme="2" tint="0.5999633777886288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3" tint="-0.249977111117893"/>
        <bgColor indexed="64"/>
      </patternFill>
    </fill>
    <fill>
      <gradientFill degree="90">
        <stop position="0">
          <color theme="3"/>
        </stop>
        <stop position="1">
          <color theme="3" tint="-0.49803155613879818"/>
        </stop>
      </gradient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 tint="-4.9989318521683403E-2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3"/>
      </bottom>
      <diagonal/>
    </border>
    <border>
      <left/>
      <right/>
      <top style="medium">
        <color theme="1" tint="0.79998168889431442"/>
      </top>
      <bottom/>
      <diagonal/>
    </border>
    <border>
      <left/>
      <right style="thick">
        <color theme="0" tint="-4.9989318521683403E-2"/>
      </right>
      <top style="medium">
        <color theme="1" tint="0.79998168889431442"/>
      </top>
      <bottom/>
      <diagonal/>
    </border>
    <border>
      <left/>
      <right/>
      <top style="double">
        <color theme="1" tint="0.59996337778862885"/>
      </top>
      <bottom style="medium">
        <color theme="1" tint="0.59996337778862885"/>
      </bottom>
      <diagonal/>
    </border>
    <border>
      <left/>
      <right/>
      <top/>
      <bottom style="thick">
        <color theme="0" tint="-4.9989318521683403E-2"/>
      </bottom>
      <diagonal/>
    </border>
  </borders>
  <cellStyleXfs count="72">
    <xf numFmtId="0" fontId="0" fillId="6" borderId="0">
      <alignment vertical="center"/>
    </xf>
    <xf numFmtId="0" fontId="25" fillId="6" borderId="0">
      <alignment horizontal="left"/>
    </xf>
    <xf numFmtId="41" fontId="19" fillId="18" borderId="7">
      <alignment horizontal="left" vertical="center"/>
    </xf>
    <xf numFmtId="41" fontId="9" fillId="14" borderId="7">
      <alignment horizontal="left" vertical="center"/>
    </xf>
    <xf numFmtId="41" fontId="9" fillId="6" borderId="13">
      <alignment horizontal="left" vertical="center" shrinkToFit="1"/>
    </xf>
    <xf numFmtId="41" fontId="19" fillId="18" borderId="14">
      <alignment horizontal="left" vertical="center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1" fontId="9" fillId="19" borderId="2">
      <alignment horizontal="left" vertical="center" shrinkToFit="1"/>
      <protection locked="0"/>
    </xf>
    <xf numFmtId="41" fontId="9" fillId="5" borderId="2">
      <alignment horizontal="left" vertical="center" shrinkToFit="1"/>
    </xf>
    <xf numFmtId="41" fontId="9" fillId="6" borderId="6">
      <alignment horizontal="left" vertical="center" shrinkToFit="1"/>
    </xf>
    <xf numFmtId="41" fontId="21" fillId="5" borderId="2">
      <alignment horizontal="left" vertical="center" shrinkToFit="1"/>
    </xf>
    <xf numFmtId="170" fontId="6" fillId="14" borderId="7">
      <alignment horizontal="left" vertical="center"/>
    </xf>
    <xf numFmtId="189" fontId="29" fillId="14" borderId="20">
      <alignment horizontal="left" vertical="center"/>
    </xf>
    <xf numFmtId="0" fontId="22" fillId="6" borderId="0">
      <alignment horizontal="left" vertical="center"/>
    </xf>
    <xf numFmtId="0" fontId="9" fillId="6" borderId="8">
      <alignment horizontal="left" vertical="center"/>
    </xf>
    <xf numFmtId="41" fontId="17" fillId="6" borderId="19">
      <alignment horizontal="right" vertical="center" shrinkToFit="1"/>
    </xf>
    <xf numFmtId="166" fontId="5" fillId="5" borderId="2" applyFill="0" applyBorder="0" applyProtection="0">
      <alignment horizontal="right" vertical="center" shrinkToFit="1"/>
    </xf>
    <xf numFmtId="167" fontId="5" fillId="5" borderId="2" applyFill="0" applyBorder="0" applyProtection="0">
      <alignment horizontal="right" vertical="center" shrinkToFit="1"/>
    </xf>
    <xf numFmtId="168" fontId="5" fillId="5" borderId="2" applyFill="0" applyBorder="0" applyProtection="0">
      <alignment horizontal="right" vertical="center" shrinkToFit="1"/>
    </xf>
    <xf numFmtId="0" fontId="6" fillId="6" borderId="3">
      <alignment horizontal="left" vertical="center"/>
    </xf>
    <xf numFmtId="0" fontId="6" fillId="7" borderId="3">
      <alignment horizontal="left" vertical="center"/>
    </xf>
    <xf numFmtId="0" fontId="6" fillId="8" borderId="3">
      <alignment horizontal="left" vertical="center"/>
    </xf>
    <xf numFmtId="0" fontId="7" fillId="9" borderId="4">
      <alignment horizontal="left" vertical="center"/>
    </xf>
    <xf numFmtId="0" fontId="8" fillId="10" borderId="5">
      <alignment horizontal="left" vertical="center" shrinkToFit="1"/>
    </xf>
    <xf numFmtId="0" fontId="8" fillId="11" borderId="0">
      <alignment horizontal="left" vertical="center" shrinkToFit="1"/>
    </xf>
    <xf numFmtId="169" fontId="8" fillId="12" borderId="0">
      <alignment horizontal="right" vertical="center" shrinkToFit="1"/>
    </xf>
    <xf numFmtId="0" fontId="7" fillId="13" borderId="0">
      <alignment horizontal="right" vertical="center"/>
    </xf>
    <xf numFmtId="0" fontId="8" fillId="12" borderId="0">
      <alignment horizontal="left" vertical="center"/>
    </xf>
    <xf numFmtId="171" fontId="10" fillId="15" borderId="5">
      <alignment horizontal="right" vertical="center" shrinkToFit="1"/>
    </xf>
    <xf numFmtId="0" fontId="11" fillId="12" borderId="0">
      <alignment horizontal="left" vertical="center"/>
    </xf>
    <xf numFmtId="0" fontId="12" fillId="12" borderId="0">
      <alignment horizontal="left" vertical="center"/>
    </xf>
    <xf numFmtId="172" fontId="13" fillId="5" borderId="0">
      <alignment horizontal="left" vertical="center"/>
    </xf>
    <xf numFmtId="172" fontId="6" fillId="5" borderId="2">
      <alignment horizontal="left" vertical="center" shrinkToFit="1"/>
    </xf>
    <xf numFmtId="173" fontId="13" fillId="5" borderId="9">
      <alignment horizontal="left" vertical="center"/>
    </xf>
    <xf numFmtId="174" fontId="9" fillId="16" borderId="10">
      <alignment horizontal="left" vertical="center"/>
      <protection locked="0"/>
    </xf>
    <xf numFmtId="171" fontId="14" fillId="5" borderId="11">
      <alignment horizontal="center" vertical="center" shrinkToFit="1"/>
    </xf>
    <xf numFmtId="175" fontId="15" fillId="5" borderId="2" applyFill="0" applyBorder="0">
      <alignment horizontal="right" vertical="center" shrinkToFit="1"/>
    </xf>
    <xf numFmtId="176" fontId="15" fillId="5" borderId="2" applyFill="0" applyBorder="0">
      <alignment horizontal="right" vertical="center" shrinkToFit="1"/>
    </xf>
    <xf numFmtId="0" fontId="16" fillId="17" borderId="0">
      <alignment horizontal="left" vertical="center"/>
    </xf>
    <xf numFmtId="173" fontId="17" fillId="5" borderId="12">
      <alignment horizontal="left" vertical="center" shrinkToFit="1"/>
    </xf>
    <xf numFmtId="177" fontId="18" fillId="6" borderId="13">
      <alignment horizontal="left" vertical="center" shrinkToFit="1"/>
    </xf>
    <xf numFmtId="178" fontId="9" fillId="6" borderId="13">
      <alignment horizontal="left" vertical="center"/>
    </xf>
    <xf numFmtId="179" fontId="9" fillId="19" borderId="2">
      <alignment horizontal="left" vertical="center" shrinkToFit="1"/>
      <protection locked="0"/>
    </xf>
    <xf numFmtId="180" fontId="9" fillId="19" borderId="2">
      <alignment horizontal="right" vertical="center" shrinkToFit="1"/>
      <protection locked="0"/>
    </xf>
    <xf numFmtId="181" fontId="9" fillId="19" borderId="2">
      <alignment horizontal="right" vertical="center"/>
      <protection locked="0"/>
    </xf>
    <xf numFmtId="182" fontId="9" fillId="20" borderId="2">
      <alignment horizontal="left" vertical="center" shrinkToFit="1"/>
      <protection locked="0"/>
    </xf>
    <xf numFmtId="173" fontId="9" fillId="21" borderId="2">
      <alignment horizontal="left" vertical="center" shrinkToFit="1"/>
      <protection locked="0"/>
    </xf>
    <xf numFmtId="0" fontId="9" fillId="21" borderId="2">
      <alignment horizontal="left" vertical="center"/>
      <protection locked="0"/>
    </xf>
    <xf numFmtId="0" fontId="9" fillId="19" borderId="2">
      <alignment horizontal="left" vertical="center"/>
      <protection locked="0"/>
    </xf>
    <xf numFmtId="179" fontId="9" fillId="6" borderId="15">
      <alignment horizontal="left" vertical="center" shrinkToFit="1"/>
    </xf>
    <xf numFmtId="183" fontId="15" fillId="6" borderId="15">
      <alignment horizontal="left" vertical="center"/>
    </xf>
    <xf numFmtId="184" fontId="9" fillId="6" borderId="15">
      <alignment horizontal="left" vertical="center"/>
    </xf>
    <xf numFmtId="180" fontId="9" fillId="6" borderId="15">
      <alignment horizontal="right" vertical="center" shrinkToFit="1"/>
    </xf>
    <xf numFmtId="185" fontId="20" fillId="6" borderId="0">
      <alignment horizontal="right" vertical="center" shrinkToFit="1"/>
    </xf>
    <xf numFmtId="186" fontId="20" fillId="6" borderId="0">
      <alignment horizontal="right" vertical="center" shrinkToFit="1"/>
    </xf>
    <xf numFmtId="187" fontId="6" fillId="6" borderId="15">
      <alignment horizontal="left" vertical="center"/>
    </xf>
    <xf numFmtId="179" fontId="9" fillId="5" borderId="2">
      <alignment horizontal="left" vertical="center" shrinkToFit="1"/>
    </xf>
    <xf numFmtId="180" fontId="9" fillId="5" borderId="2">
      <alignment horizontal="right" vertical="center" shrinkToFit="1"/>
    </xf>
    <xf numFmtId="0" fontId="9" fillId="5" borderId="2">
      <alignment horizontal="left" vertical="center"/>
    </xf>
    <xf numFmtId="0" fontId="1" fillId="22" borderId="16">
      <alignment horizontal="left"/>
    </xf>
    <xf numFmtId="0" fontId="23" fillId="6" borderId="1">
      <alignment horizontal="left"/>
    </xf>
    <xf numFmtId="0" fontId="24" fillId="22" borderId="0">
      <alignment horizontal="left" vertical="top"/>
    </xf>
    <xf numFmtId="0" fontId="16" fillId="17" borderId="0">
      <alignment horizontal="left" vertical="center"/>
    </xf>
    <xf numFmtId="0" fontId="26" fillId="18" borderId="7">
      <alignment horizontal="left" vertical="center"/>
    </xf>
    <xf numFmtId="0" fontId="18" fillId="14" borderId="7">
      <alignment horizontal="left" vertical="center"/>
    </xf>
    <xf numFmtId="188" fontId="18" fillId="14" borderId="7">
      <alignment horizontal="left" vertical="center"/>
    </xf>
    <xf numFmtId="0" fontId="18" fillId="6" borderId="13">
      <alignment horizontal="left" vertical="center"/>
    </xf>
    <xf numFmtId="0" fontId="27" fillId="6" borderId="17">
      <alignment horizontal="left" vertical="center"/>
    </xf>
    <xf numFmtId="0" fontId="28" fillId="14" borderId="18">
      <alignment horizontal="left" vertical="center"/>
    </xf>
    <xf numFmtId="164" fontId="6" fillId="0" borderId="0" applyFont="0" applyFill="0" applyBorder="0" applyAlignment="0" applyProtection="0"/>
  </cellStyleXfs>
  <cellXfs count="50">
    <xf numFmtId="0" fontId="0" fillId="6" borderId="0" xfId="0">
      <alignment vertical="center"/>
    </xf>
    <xf numFmtId="0" fontId="12" fillId="12" borderId="0" xfId="32">
      <alignment horizontal="left" vertical="center"/>
    </xf>
    <xf numFmtId="0" fontId="11" fillId="12" borderId="0" xfId="31">
      <alignment horizontal="left" vertical="center"/>
    </xf>
    <xf numFmtId="0" fontId="1" fillId="22" borderId="16" xfId="61">
      <alignment horizontal="left"/>
    </xf>
    <xf numFmtId="0" fontId="17" fillId="6" borderId="8" xfId="16" applyFont="1">
      <alignment horizontal="left" vertical="center"/>
    </xf>
    <xf numFmtId="0" fontId="9" fillId="6" borderId="8" xfId="16">
      <alignment horizontal="left" vertical="center"/>
    </xf>
    <xf numFmtId="184" fontId="9" fillId="6" borderId="15" xfId="53">
      <alignment horizontal="left" vertical="center"/>
    </xf>
    <xf numFmtId="184" fontId="22" fillId="6" borderId="15" xfId="53" applyFont="1">
      <alignment horizontal="left" vertical="center"/>
    </xf>
    <xf numFmtId="0" fontId="18" fillId="14" borderId="7" xfId="66">
      <alignment horizontal="left" vertical="center"/>
    </xf>
    <xf numFmtId="41" fontId="9" fillId="19" borderId="2" xfId="9">
      <alignment horizontal="left" vertical="center" shrinkToFit="1"/>
      <protection locked="0"/>
    </xf>
    <xf numFmtId="164" fontId="9" fillId="19" borderId="2" xfId="71" applyFont="1" applyFill="1" applyBorder="1" applyAlignment="1" applyProtection="1">
      <alignment horizontal="left" vertical="center" shrinkToFit="1"/>
      <protection locked="0"/>
    </xf>
    <xf numFmtId="0" fontId="26" fillId="18" borderId="7" xfId="65">
      <alignment horizontal="left" vertical="center"/>
    </xf>
    <xf numFmtId="191" fontId="9" fillId="19" borderId="2" xfId="9" applyNumberFormat="1">
      <alignment horizontal="left" vertical="center" shrinkToFit="1"/>
      <protection locked="0"/>
    </xf>
    <xf numFmtId="164" fontId="9" fillId="5" borderId="2" xfId="71" applyFont="1" applyFill="1" applyBorder="1" applyAlignment="1">
      <alignment horizontal="left" vertical="center" shrinkToFit="1"/>
    </xf>
    <xf numFmtId="191" fontId="18" fillId="14" borderId="7" xfId="66" applyNumberFormat="1">
      <alignment horizontal="left" vertical="center"/>
    </xf>
    <xf numFmtId="191" fontId="18" fillId="14" borderId="7" xfId="66" applyNumberFormat="1" applyFont="1">
      <alignment horizontal="left" vertical="center"/>
    </xf>
    <xf numFmtId="0" fontId="12" fillId="12" borderId="0" xfId="32" applyAlignment="1">
      <alignment horizontal="center" vertical="center"/>
    </xf>
    <xf numFmtId="0" fontId="12" fillId="23" borderId="0" xfId="32" applyFill="1" applyAlignment="1">
      <alignment horizontal="right" vertical="center"/>
    </xf>
    <xf numFmtId="0" fontId="11" fillId="12" borderId="0" xfId="31" applyAlignment="1">
      <alignment horizontal="right" vertical="center"/>
    </xf>
    <xf numFmtId="0" fontId="0" fillId="6" borderId="0" xfId="0" applyAlignment="1">
      <alignment horizontal="right" vertical="center"/>
    </xf>
    <xf numFmtId="0" fontId="9" fillId="6" borderId="8" xfId="16" applyAlignment="1">
      <alignment horizontal="center" vertical="center"/>
    </xf>
    <xf numFmtId="174" fontId="12" fillId="24" borderId="0" xfId="36" applyFont="1" applyFill="1" applyBorder="1">
      <alignment horizontal="left" vertical="center"/>
      <protection locked="0"/>
    </xf>
    <xf numFmtId="174" fontId="12" fillId="24" borderId="0" xfId="36" applyFont="1" applyFill="1" applyBorder="1" applyAlignment="1">
      <alignment horizontal="center" vertical="center"/>
      <protection locked="0"/>
    </xf>
    <xf numFmtId="191" fontId="9" fillId="5" borderId="2" xfId="10" applyNumberFormat="1">
      <alignment horizontal="left" vertical="center" shrinkToFit="1"/>
    </xf>
    <xf numFmtId="41" fontId="17" fillId="5" borderId="2" xfId="10" applyFont="1">
      <alignment horizontal="left" vertical="center" shrinkToFit="1"/>
    </xf>
    <xf numFmtId="41" fontId="17" fillId="25" borderId="2" xfId="10" applyFont="1" applyFill="1">
      <alignment horizontal="left" vertical="center" shrinkToFit="1"/>
    </xf>
    <xf numFmtId="41" fontId="17" fillId="6" borderId="19" xfId="17">
      <alignment horizontal="right" vertical="center" shrinkToFit="1"/>
    </xf>
    <xf numFmtId="41" fontId="17" fillId="6" borderId="19" xfId="17" applyAlignment="1">
      <alignment horizontal="left" vertical="center" shrinkToFit="1"/>
    </xf>
    <xf numFmtId="0" fontId="26" fillId="18" borderId="7" xfId="65" applyAlignment="1">
      <alignment horizontal="right" vertical="center"/>
    </xf>
    <xf numFmtId="190" fontId="9" fillId="5" borderId="2" xfId="71" applyNumberFormat="1" applyFont="1" applyFill="1" applyBorder="1" applyAlignment="1">
      <alignment horizontal="left" vertical="center"/>
    </xf>
    <xf numFmtId="190" fontId="17" fillId="5" borderId="2" xfId="71" applyNumberFormat="1" applyFont="1" applyFill="1" applyBorder="1" applyAlignment="1">
      <alignment horizontal="left" vertical="center"/>
    </xf>
    <xf numFmtId="190" fontId="17" fillId="25" borderId="2" xfId="71" applyNumberFormat="1" applyFont="1" applyFill="1" applyBorder="1" applyAlignment="1">
      <alignment horizontal="left" vertical="center"/>
    </xf>
    <xf numFmtId="190" fontId="9" fillId="6" borderId="19" xfId="71" applyNumberFormat="1" applyFont="1" applyFill="1" applyBorder="1" applyAlignment="1">
      <alignment horizontal="right" vertical="center" shrinkToFit="1"/>
    </xf>
    <xf numFmtId="190" fontId="17" fillId="6" borderId="19" xfId="71" applyNumberFormat="1" applyFont="1" applyFill="1" applyBorder="1" applyAlignment="1">
      <alignment horizontal="right" vertical="center" shrinkToFit="1"/>
    </xf>
    <xf numFmtId="190" fontId="17" fillId="25" borderId="19" xfId="71" applyNumberFormat="1" applyFont="1" applyFill="1" applyBorder="1" applyAlignment="1">
      <alignment horizontal="right" vertical="center" shrinkToFit="1"/>
    </xf>
    <xf numFmtId="0" fontId="12" fillId="12" borderId="0" xfId="32" applyAlignment="1">
      <alignment horizontal="left" vertical="center"/>
    </xf>
    <xf numFmtId="169" fontId="8" fillId="12" borderId="0" xfId="27">
      <alignment horizontal="right" vertical="center" shrinkToFit="1"/>
    </xf>
    <xf numFmtId="164" fontId="18" fillId="14" borderId="7" xfId="66" applyNumberFormat="1">
      <alignment horizontal="left" vertical="center"/>
    </xf>
    <xf numFmtId="169" fontId="12" fillId="12" borderId="0" xfId="32" applyNumberFormat="1" applyAlignment="1">
      <alignment horizontal="right" vertical="center"/>
    </xf>
    <xf numFmtId="169" fontId="26" fillId="18" borderId="7" xfId="65" applyNumberFormat="1" applyAlignment="1">
      <alignment horizontal="right" vertical="center"/>
    </xf>
    <xf numFmtId="0" fontId="31" fillId="18" borderId="7" xfId="65" applyFont="1">
      <alignment horizontal="left" vertical="center"/>
    </xf>
    <xf numFmtId="165" fontId="31" fillId="18" borderId="7" xfId="65" applyNumberFormat="1" applyFont="1" applyAlignment="1">
      <alignment horizontal="right" vertical="center"/>
    </xf>
    <xf numFmtId="164" fontId="31" fillId="18" borderId="7" xfId="71" applyFont="1" applyFill="1" applyBorder="1" applyAlignment="1">
      <alignment horizontal="center" vertical="center"/>
    </xf>
    <xf numFmtId="0" fontId="9" fillId="19" borderId="2" xfId="50">
      <alignment horizontal="left" vertical="center"/>
      <protection locked="0"/>
    </xf>
    <xf numFmtId="0" fontId="32" fillId="19" borderId="2" xfId="50" applyFont="1">
      <alignment horizontal="left" vertical="center"/>
      <protection locked="0"/>
    </xf>
    <xf numFmtId="0" fontId="33" fillId="19" borderId="2" xfId="50" applyFont="1">
      <alignment horizontal="left" vertical="center"/>
      <protection locked="0"/>
    </xf>
    <xf numFmtId="0" fontId="8" fillId="12" borderId="0" xfId="29">
      <alignment horizontal="left" vertical="center"/>
    </xf>
    <xf numFmtId="192" fontId="9" fillId="5" borderId="2" xfId="10" applyNumberFormat="1">
      <alignment horizontal="left" vertical="center" shrinkToFit="1"/>
    </xf>
    <xf numFmtId="192" fontId="17" fillId="5" borderId="2" xfId="10" applyNumberFormat="1" applyFont="1">
      <alignment horizontal="left" vertical="center" shrinkToFit="1"/>
    </xf>
    <xf numFmtId="192" fontId="17" fillId="25" borderId="2" xfId="10" applyNumberFormat="1" applyFont="1" applyFill="1">
      <alignment horizontal="left" vertical="center" shrinkToFit="1"/>
    </xf>
  </cellXfs>
  <cellStyles count="72">
    <cellStyle name="_Mapping" xfId="21" xr:uid="{BD57DFB3-19E3-4D8F-8C20-53826ED2E633}"/>
    <cellStyle name="_Mapping 2" xfId="22" xr:uid="{D4EF47F2-AA9A-44D7-B643-626F193B8332}"/>
    <cellStyle name="_Mapping 3" xfId="23" xr:uid="{B6260E13-C71E-41CE-BE19-C877305B2C04}"/>
    <cellStyle name="$" xfId="18" xr:uid="{C4D81256-4B75-4BB0-ADFA-809B32CB614E}"/>
    <cellStyle name="$k" xfId="19" xr:uid="{0AC37CA3-3DCF-4D62-8952-1D478E629596}"/>
    <cellStyle name="$m" xfId="20" xr:uid="{590B078C-3D38-48C1-937F-92DA5E99DDA9}"/>
    <cellStyle name="Action Button" xfId="24" xr:uid="{40C079C8-4377-4924-9EED-7549DF181761}"/>
    <cellStyle name="Bad" xfId="7" builtinId="27" hidden="1"/>
    <cellStyle name="Bar Driver1" xfId="25" xr:uid="{0F345D8C-9D84-48E2-AD91-1FB75A4E0F62}"/>
    <cellStyle name="Bar Driver2" xfId="26" xr:uid="{B3C595D0-F31E-4435-B7AB-FA48DAE05522}"/>
    <cellStyle name="Bar mmm/yy" xfId="27" xr:uid="{1F706C9C-B4FE-4D9B-B0A9-C36935F224C9}"/>
    <cellStyle name="Bar Scenario" xfId="28" xr:uid="{30D93AA5-EBA2-419A-9A18-2AD04104F21D}"/>
    <cellStyle name="Bar Title" xfId="29" xr:uid="{AF279D1A-EFF6-4AF9-BE95-ADEDBA0F655A}"/>
    <cellStyle name="Calculation" xfId="11" builtinId="22" customBuiltin="1"/>
    <cellStyle name="Check Cell" xfId="13" builtinId="23" customBuiltin="1"/>
    <cellStyle name="Currency" xfId="71" builtinId="4"/>
    <cellStyle name="Dash mmm" xfId="30" xr:uid="{657844D6-B6C1-4234-9E9F-78628DF23959}"/>
    <cellStyle name="Explanatory Text" xfId="16" builtinId="53" customBuiltin="1"/>
    <cellStyle name="Good" xfId="6" builtinId="26" hidden="1"/>
    <cellStyle name="Gr Title1" xfId="31" xr:uid="{D1AD8D82-8ACB-40C7-93AD-ED1D763FC7C3}"/>
    <cellStyle name="Gr Title2" xfId="32" xr:uid="{5D59B7F7-C480-4048-857E-BDB92B3E2A12}"/>
    <cellStyle name="Graph" xfId="33" xr:uid="{1AEE19CD-D175-4F57-B535-114A51FB1449}"/>
    <cellStyle name="Graph Border" xfId="34" xr:uid="{9C1CE102-517F-41F4-8D8F-F2CF9107CCC9}"/>
    <cellStyle name="Graph Divider" xfId="35" xr:uid="{823B8BCF-DAED-4D8A-9A31-BB479DF7AFC6}"/>
    <cellStyle name="Graph Drop" xfId="36" xr:uid="{D2A5C683-0BF6-46E6-8016-DC6618988CB8}"/>
    <cellStyle name="Graph mmm" xfId="37" xr:uid="{68FF7D68-7CCF-4D39-977C-455D75E3254F}"/>
    <cellStyle name="Graph Stat Cost ▴" xfId="38" xr:uid="{A1A8A0D1-93A3-4D42-9047-9E054E1BEC32}"/>
    <cellStyle name="Graph Stat Rev ▴" xfId="39" xr:uid="{2FA0C646-B51A-43A1-892C-6001C3D7EA48}"/>
    <cellStyle name="Graph Title" xfId="40" xr:uid="{920EEB9E-4F04-4B58-A60B-16F18F82E915}"/>
    <cellStyle name="Graph Total" xfId="41" xr:uid="{43E27FA3-A14F-413B-896C-AB2266F84CCA}"/>
    <cellStyle name="H3 RowCount" xfId="42" xr:uid="{665FEFA9-1C94-43E8-B337-267B9C3A2661}"/>
    <cellStyle name="H3 Stat" xfId="43" xr:uid="{E38D8226-0A2F-4E28-94B4-F39C4A31B9D3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.0%" xfId="44" xr:uid="{921C1558-48C4-43AC-8EDC-DFA644AF6867}"/>
    <cellStyle name="Input Date" xfId="45" xr:uid="{7F16A03D-5D9E-466D-A44F-B06612AC94A2}"/>
    <cellStyle name="Input Day" xfId="46" xr:uid="{9FECA995-4DD7-4737-956D-0DAF7B2A4E9F}"/>
    <cellStyle name="Input Drop" xfId="47" xr:uid="{33DC2CE2-AA90-4214-B343-D61266EFFA8E}"/>
    <cellStyle name="Input LID" xfId="48" xr:uid="{40461D1F-860F-4CF0-9878-968B4DF0778E}"/>
    <cellStyle name="Input LID Text" xfId="49" xr:uid="{927BDE1A-A99B-48FF-831E-44A2BEAA405C}"/>
    <cellStyle name="Input Text" xfId="50" xr:uid="{DB04D7EB-173B-49D2-9A16-60294C084AA5}"/>
    <cellStyle name="Line .0%" xfId="51" xr:uid="{3031C36A-AFDD-41F6-9600-89C08C663F5D}"/>
    <cellStyle name="Line •" xfId="53" xr:uid="{54B6C245-A314-408A-84F7-5AF8806993E3}"/>
    <cellStyle name="Line ✓" xfId="52" xr:uid="{7FFBAFAF-BEC3-4F45-8916-D2330CF33998}"/>
    <cellStyle name="Line Date" xfId="54" xr:uid="{764A5482-76B0-4F6B-93D8-5D7CFFFAE001}"/>
    <cellStyle name="Line Stat Cost ▴" xfId="55" xr:uid="{47756C5A-5FEF-42A9-9E36-A6BE9B1C054B}"/>
    <cellStyle name="Line Stat Rev ▴" xfId="56" xr:uid="{C726E7D3-A9B0-42F5-B331-8D91154E3830}"/>
    <cellStyle name="Line Subtle" xfId="57" xr:uid="{9A8E67C2-755B-40DD-A50A-C621AD190862}"/>
    <cellStyle name="Linked Cell" xfId="12" builtinId="24" customBuiltin="1"/>
    <cellStyle name="Neutral" xfId="8" builtinId="28" hidden="1"/>
    <cellStyle name="Normal" xfId="0" builtinId="0" customBuiltin="1"/>
    <cellStyle name="Note" xfId="15" builtinId="10" customBuiltin="1"/>
    <cellStyle name="Output" xfId="10" builtinId="21" customBuiltin="1"/>
    <cellStyle name="Output .0%" xfId="58" xr:uid="{04679F1B-6538-419B-B712-248E14AFEFC7}"/>
    <cellStyle name="Output Date" xfId="59" xr:uid="{5BF6E6BC-A63A-4B86-97DC-07C9C7B1AF76}"/>
    <cellStyle name="Output Text" xfId="60" xr:uid="{552240BF-6E8B-4D88-9484-3EA8B05BCFA4}"/>
    <cellStyle name="Subtitle1" xfId="61" xr:uid="{A377B8B8-33BD-4B47-A997-34AA4CDFF132}"/>
    <cellStyle name="Subtitle2" xfId="62" xr:uid="{9F731A58-CEE7-4555-9117-1B6E048D317C}"/>
    <cellStyle name="Subtitle3" xfId="63" xr:uid="{942EB3A8-8534-42D5-BC02-DE2F3EF78C61}"/>
    <cellStyle name="Title" xfId="1" builtinId="15" customBuiltin="1"/>
    <cellStyle name="Title Graph" xfId="64" xr:uid="{AB16272B-1430-4A7C-ACB3-197C2D0464EF}"/>
    <cellStyle name="Title H1" xfId="65" xr:uid="{A80435FE-C380-43B0-8187-3FF2CCC1347C}"/>
    <cellStyle name="Title H2" xfId="66" xr:uid="{FE3A683F-2F01-434F-B5DC-C1A47F03679D}"/>
    <cellStyle name="Title H2 ▸" xfId="67" xr:uid="{856461DC-00AB-40BB-93A4-1E0B1A319DDA}"/>
    <cellStyle name="Title H3" xfId="68" xr:uid="{A18B9EED-578E-47F7-BC5C-DC27340ACCEE}"/>
    <cellStyle name="Top Group" xfId="69" xr:uid="{32EBE6E6-5E07-471F-AE1A-A671B46375A1}"/>
    <cellStyle name="Top Tab" xfId="70" xr:uid="{C9A77311-7859-4B81-8FCD-41903B018ED6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Total Required Materials (kg)</c:v>
          </c:tx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44-4A40-8120-0D56831576E7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44-4A40-8120-0D56831576E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44-4A40-8120-0D56831576E7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44-4A40-8120-0D56831576E7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44-4A40-8120-0D56831576E7}"/>
              </c:ext>
            </c:extLst>
          </c:dPt>
          <c:cat>
            <c:strRef>
              <c:f>'Bill of Materials'!$B$31:$B$35</c:f>
              <c:strCache>
                <c:ptCount val="5"/>
                <c:pt idx="0">
                  <c:v>Material 1</c:v>
                </c:pt>
                <c:pt idx="1">
                  <c:v>Material 2</c:v>
                </c:pt>
                <c:pt idx="2">
                  <c:v>Material 3</c:v>
                </c:pt>
                <c:pt idx="3">
                  <c:v>Material 4</c:v>
                </c:pt>
                <c:pt idx="4">
                  <c:v>Material 5</c:v>
                </c:pt>
              </c:strCache>
            </c:strRef>
          </c:cat>
          <c:val>
            <c:numRef>
              <c:f>'Bill of Materials'!$W$31:$W$35</c:f>
              <c:numCache>
                <c:formatCode>_(* #,##0.0_);_(* \(#,##0.0\);_(* "-"_);_(@_)</c:formatCode>
                <c:ptCount val="5"/>
                <c:pt idx="0">
                  <c:v>59225.000000000015</c:v>
                </c:pt>
                <c:pt idx="1">
                  <c:v>91412.5</c:v>
                </c:pt>
                <c:pt idx="2">
                  <c:v>50212.5</c:v>
                </c:pt>
                <c:pt idx="3">
                  <c:v>95275</c:v>
                </c:pt>
                <c:pt idx="4">
                  <c:v>32702.5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F-4DE1-9736-3C4FFDB2B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Total Material Cost ($)</c:v>
          </c:tx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DC-4B4F-8048-CD47F78876CB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DC-4B4F-8048-CD47F78876CB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DC-4B4F-8048-CD47F78876CB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DC-4B4F-8048-CD47F78876CB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DC-4B4F-8048-CD47F78876CB}"/>
              </c:ext>
            </c:extLst>
          </c:dPt>
          <c:cat>
            <c:strRef>
              <c:f>'Bill of Materials'!$B$38:$B$42</c:f>
              <c:strCache>
                <c:ptCount val="5"/>
                <c:pt idx="0">
                  <c:v>Material 1</c:v>
                </c:pt>
                <c:pt idx="1">
                  <c:v>Material 2</c:v>
                </c:pt>
                <c:pt idx="2">
                  <c:v>Material 3</c:v>
                </c:pt>
                <c:pt idx="3">
                  <c:v>Material 4</c:v>
                </c:pt>
                <c:pt idx="4">
                  <c:v>Material 5</c:v>
                </c:pt>
              </c:strCache>
            </c:strRef>
          </c:cat>
          <c:val>
            <c:numRef>
              <c:f>'Bill of Materials'!$W$38:$W$42</c:f>
              <c:numCache>
                <c:formatCode>_-"$"* #,##0_-;\-"$"* #,##0_-;_-"$"* "-"??_-;_-@_-</c:formatCode>
                <c:ptCount val="5"/>
                <c:pt idx="0">
                  <c:v>666310.00000000012</c:v>
                </c:pt>
                <c:pt idx="1">
                  <c:v>742837.5</c:v>
                </c:pt>
                <c:pt idx="2">
                  <c:v>204018.75</c:v>
                </c:pt>
                <c:pt idx="3">
                  <c:v>744347.5</c:v>
                </c:pt>
                <c:pt idx="4">
                  <c:v>53149.5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7-49A7-AB0B-D7C55820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  <a:latin typeface="+mj-lt"/>
              </a:rPr>
              <a:t>Monthly Total Material Cost ($)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Monthly Total Material Cost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cat>
            <c:numRef>
              <c:f>('Bill of Materials'!$G$2:$I$2,'Bill of Materials'!$K$2:$M$2,'Bill of Materials'!$O$2:$Q$2,'Bill of Materials'!$S$2:$U$2)</c:f>
              <c:numCache>
                <c:formatCode>[$-409]\ mmm\ 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('Bill of Materials'!$G$43:$I$43,'Bill of Materials'!$K$43:$M$43,'Bill of Materials'!$O$43:$Q$43,'Bill of Materials'!$S$43:$U$43)</c:f>
              <c:numCache>
                <c:formatCode>_-"$"* #,##0_-;\-"$"* #,##0_-;_-"$"* "-"??_-;_-@_-</c:formatCode>
                <c:ptCount val="12"/>
                <c:pt idx="0">
                  <c:v>93306.25</c:v>
                </c:pt>
                <c:pt idx="1">
                  <c:v>155359</c:v>
                </c:pt>
                <c:pt idx="2">
                  <c:v>121071</c:v>
                </c:pt>
                <c:pt idx="3">
                  <c:v>150747.29999999999</c:v>
                </c:pt>
                <c:pt idx="4">
                  <c:v>173566</c:v>
                </c:pt>
                <c:pt idx="5">
                  <c:v>166162.375</c:v>
                </c:pt>
                <c:pt idx="6">
                  <c:v>232130</c:v>
                </c:pt>
                <c:pt idx="7">
                  <c:v>215744.625</c:v>
                </c:pt>
                <c:pt idx="8">
                  <c:v>197842</c:v>
                </c:pt>
                <c:pt idx="9">
                  <c:v>254888.75</c:v>
                </c:pt>
                <c:pt idx="10">
                  <c:v>314970</c:v>
                </c:pt>
                <c:pt idx="11">
                  <c:v>334875.95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D-4EAC-9632-02187366B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77231"/>
        <c:axId val="137973071"/>
      </c:lineChart>
      <c:dateAx>
        <c:axId val="137977231"/>
        <c:scaling>
          <c:orientation val="minMax"/>
        </c:scaling>
        <c:delete val="0"/>
        <c:axPos val="b"/>
        <c:numFmt formatCode="[$-409]\ 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37973071"/>
        <c:crosses val="autoZero"/>
        <c:auto val="1"/>
        <c:lblOffset val="100"/>
        <c:baseTimeUnit val="months"/>
      </c:dateAx>
      <c:valAx>
        <c:axId val="13797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37977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venasolutions.com/solutions/budgeting-forecasting?utm_source=Templates&amp;utm_medium=Excel&amp;utm_campaign=FY23Q1_Templates_OpExBudget_3&amp;utm_content=LearnMoreCTA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4.png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2</xdr:row>
      <xdr:rowOff>342900</xdr:rowOff>
    </xdr:from>
    <xdr:to>
      <xdr:col>18</xdr:col>
      <xdr:colOff>202165</xdr:colOff>
      <xdr:row>22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D58B1-5A0D-4097-AFEC-09257E2AC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62924" y="971550"/>
          <a:ext cx="6155291" cy="3809999"/>
        </a:xfrm>
        <a:prstGeom prst="rect">
          <a:avLst/>
        </a:prstGeom>
      </xdr:spPr>
    </xdr:pic>
    <xdr:clientData/>
  </xdr:twoCellAnchor>
  <xdr:twoCellAnchor editAs="oneCell">
    <xdr:from>
      <xdr:col>18</xdr:col>
      <xdr:colOff>508000</xdr:colOff>
      <xdr:row>2</xdr:row>
      <xdr:rowOff>330200</xdr:rowOff>
    </xdr:from>
    <xdr:to>
      <xdr:col>22</xdr:col>
      <xdr:colOff>387674</xdr:colOff>
      <xdr:row>22</xdr:row>
      <xdr:rowOff>120650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9504F0-D273-4B57-B62C-CCBDBEA31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24050" y="958850"/>
          <a:ext cx="2279974" cy="38481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2</xdr:row>
      <xdr:rowOff>333375</xdr:rowOff>
    </xdr:from>
    <xdr:to>
      <xdr:col>18</xdr:col>
      <xdr:colOff>200025</xdr:colOff>
      <xdr:row>22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B0A201-F3A5-4F9B-A703-359474AC8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62925" y="962025"/>
          <a:ext cx="6153150" cy="3876675"/>
        </a:xfrm>
        <a:prstGeom prst="rect">
          <a:avLst/>
        </a:prstGeom>
      </xdr:spPr>
    </xdr:pic>
    <xdr:clientData/>
  </xdr:twoCellAnchor>
  <xdr:oneCellAnchor>
    <xdr:from>
      <xdr:col>20</xdr:col>
      <xdr:colOff>317500</xdr:colOff>
      <xdr:row>0</xdr:row>
      <xdr:rowOff>177800</xdr:rowOff>
    </xdr:from>
    <xdr:ext cx="1079920" cy="342900"/>
    <xdr:pic>
      <xdr:nvPicPr>
        <xdr:cNvPr id="5" name="Picture 4">
          <a:extLst>
            <a:ext uri="{FF2B5EF4-FFF2-40B4-BE49-F238E27FC236}">
              <a16:creationId xmlns:a16="http://schemas.microsoft.com/office/drawing/2014/main" id="{590944C8-780B-FC42-AF22-C1AA2621B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400" y="177800"/>
          <a:ext cx="1079920" cy="342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119061</xdr:rowOff>
    </xdr:from>
    <xdr:to>
      <xdr:col>7</xdr:col>
      <xdr:colOff>449925</xdr:colOff>
      <xdr:row>18</xdr:row>
      <xdr:rowOff>71736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FFADFD-D58A-8D2A-B03F-29B83032D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3</xdr:row>
      <xdr:rowOff>4760</xdr:rowOff>
    </xdr:from>
    <xdr:to>
      <xdr:col>13</xdr:col>
      <xdr:colOff>707100</xdr:colOff>
      <xdr:row>18</xdr:row>
      <xdr:rowOff>81260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F8B074-587E-83AE-B49C-A4FC00270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</xdr:colOff>
      <xdr:row>3</xdr:row>
      <xdr:rowOff>4762</xdr:rowOff>
    </xdr:from>
    <xdr:to>
      <xdr:col>22</xdr:col>
      <xdr:colOff>971550</xdr:colOff>
      <xdr:row>18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1C9639-8597-B137-7386-75E992B301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enaTheme">
  <a:themeElements>
    <a:clrScheme name="Vena Theme">
      <a:dk1>
        <a:srgbClr val="4B4844"/>
      </a:dk1>
      <a:lt1>
        <a:srgbClr val="FFFFFF"/>
      </a:lt1>
      <a:dk2>
        <a:srgbClr val="4A9462"/>
      </a:dk2>
      <a:lt2>
        <a:srgbClr val="0070C0"/>
      </a:lt2>
      <a:accent1>
        <a:srgbClr val="C34F2E"/>
      </a:accent1>
      <a:accent2>
        <a:srgbClr val="2B6554"/>
      </a:accent2>
      <a:accent3>
        <a:srgbClr val="46788F"/>
      </a:accent3>
      <a:accent4>
        <a:srgbClr val="664E5E"/>
      </a:accent4>
      <a:accent5>
        <a:srgbClr val="96B3D9"/>
      </a:accent5>
      <a:accent6>
        <a:srgbClr val="266DC9"/>
      </a:accent6>
      <a:hlink>
        <a:srgbClr val="0070C0"/>
      </a:hlink>
      <a:folHlink>
        <a:srgbClr val="26806C"/>
      </a:folHlink>
    </a:clrScheme>
    <a:fontScheme name="Vena Fonts">
      <a:majorFont>
        <a:latin typeface="Franklin Gothic Medium Cond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2B75-9FBB-4558-ADA1-44AF3128F0A3}">
  <sheetPr>
    <tabColor theme="1" tint="0.79998168889431442"/>
  </sheetPr>
  <dimension ref="B1:G32"/>
  <sheetViews>
    <sheetView tabSelected="1" workbookViewId="0">
      <selection activeCell="X7" sqref="X7"/>
    </sheetView>
  </sheetViews>
  <sheetFormatPr baseColWidth="10" defaultColWidth="9" defaultRowHeight="15" customHeight="1" x14ac:dyDescent="0.15"/>
  <cols>
    <col min="1" max="1" width="2.796875" customWidth="1"/>
    <col min="2" max="2" width="30.796875" customWidth="1"/>
    <col min="3" max="3" width="2.796875" customWidth="1"/>
    <col min="4" max="4" width="30.796875" customWidth="1"/>
    <col min="5" max="7" width="15.796875" customWidth="1"/>
    <col min="8" max="8" width="2.796875" customWidth="1"/>
  </cols>
  <sheetData>
    <row r="1" spans="2:7" s="2" customFormat="1" ht="30" customHeight="1" x14ac:dyDescent="0.15">
      <c r="B1" s="2" t="s">
        <v>0</v>
      </c>
    </row>
    <row r="2" spans="2:7" s="1" customFormat="1" ht="20" customHeight="1" x14ac:dyDescent="0.15">
      <c r="B2" s="1" t="s">
        <v>1</v>
      </c>
    </row>
    <row r="3" spans="2:7" ht="30" customHeight="1" thickBot="1" x14ac:dyDescent="0.3">
      <c r="B3" s="3" t="s">
        <v>26</v>
      </c>
      <c r="C3" s="3"/>
      <c r="D3" s="3"/>
      <c r="E3" s="3"/>
      <c r="F3" s="3"/>
      <c r="G3" s="3"/>
    </row>
    <row r="4" spans="2:7" ht="15" customHeight="1" thickTop="1" x14ac:dyDescent="0.15"/>
    <row r="5" spans="2:7" ht="15" customHeight="1" x14ac:dyDescent="0.15">
      <c r="B5" s="4" t="s">
        <v>2</v>
      </c>
      <c r="C5" s="5"/>
      <c r="D5" s="5"/>
      <c r="E5" s="5"/>
      <c r="F5" s="5"/>
      <c r="G5" s="5"/>
    </row>
    <row r="6" spans="2:7" ht="15" customHeight="1" x14ac:dyDescent="0.15">
      <c r="B6" s="6" t="s">
        <v>3</v>
      </c>
      <c r="C6" s="5"/>
      <c r="D6" s="5"/>
      <c r="E6" s="5"/>
      <c r="F6" s="5"/>
      <c r="G6" s="5"/>
    </row>
    <row r="7" spans="2:7" ht="15" customHeight="1" x14ac:dyDescent="0.15">
      <c r="B7" s="6" t="s">
        <v>4</v>
      </c>
      <c r="C7" s="5"/>
      <c r="D7" s="5"/>
      <c r="E7" s="5"/>
      <c r="F7" s="5"/>
      <c r="G7" s="5"/>
    </row>
    <row r="8" spans="2:7" ht="15" customHeight="1" x14ac:dyDescent="0.15">
      <c r="B8" s="6"/>
      <c r="C8" s="5"/>
      <c r="D8" s="5"/>
      <c r="E8" s="5"/>
      <c r="F8" s="5"/>
      <c r="G8" s="5"/>
    </row>
    <row r="9" spans="2:7" ht="15" customHeight="1" x14ac:dyDescent="0.15">
      <c r="B9" s="4" t="s">
        <v>41</v>
      </c>
      <c r="C9" s="5"/>
      <c r="D9" s="5"/>
      <c r="E9" s="5"/>
      <c r="F9" s="5"/>
      <c r="G9" s="5"/>
    </row>
    <row r="10" spans="2:7" ht="15" customHeight="1" x14ac:dyDescent="0.15">
      <c r="B10" s="6" t="s">
        <v>48</v>
      </c>
      <c r="C10" s="5"/>
      <c r="D10" s="5"/>
      <c r="E10" s="5"/>
      <c r="F10" s="5"/>
      <c r="G10" s="5"/>
    </row>
    <row r="11" spans="2:7" ht="15" customHeight="1" x14ac:dyDescent="0.15">
      <c r="B11" s="6" t="s">
        <v>43</v>
      </c>
      <c r="C11" s="5"/>
      <c r="D11" s="5"/>
      <c r="E11" s="5"/>
      <c r="F11" s="5"/>
      <c r="G11" s="5"/>
    </row>
    <row r="12" spans="2:7" ht="15" customHeight="1" x14ac:dyDescent="0.15">
      <c r="B12" s="6" t="s">
        <v>44</v>
      </c>
      <c r="C12" s="5"/>
      <c r="D12" s="5"/>
      <c r="E12" s="5"/>
      <c r="F12" s="5"/>
      <c r="G12" s="5"/>
    </row>
    <row r="13" spans="2:7" ht="15" customHeight="1" x14ac:dyDescent="0.15">
      <c r="B13" s="6" t="s">
        <v>45</v>
      </c>
      <c r="C13" s="5"/>
      <c r="D13" s="5"/>
      <c r="E13" s="5"/>
      <c r="F13" s="5"/>
      <c r="G13" s="5"/>
    </row>
    <row r="14" spans="2:7" ht="15" customHeight="1" x14ac:dyDescent="0.15">
      <c r="B14" s="6"/>
      <c r="C14" s="5"/>
      <c r="D14" s="5"/>
      <c r="E14" s="5"/>
      <c r="F14" s="5"/>
      <c r="G14" s="5"/>
    </row>
    <row r="15" spans="2:7" ht="15" customHeight="1" x14ac:dyDescent="0.15">
      <c r="B15" s="4" t="s">
        <v>5</v>
      </c>
      <c r="C15" s="5"/>
      <c r="D15" s="5"/>
      <c r="E15" s="5"/>
      <c r="F15" s="5"/>
      <c r="G15" s="5"/>
    </row>
    <row r="16" spans="2:7" ht="15" customHeight="1" x14ac:dyDescent="0.15">
      <c r="B16" s="6" t="s">
        <v>6</v>
      </c>
      <c r="C16" s="5"/>
      <c r="D16" s="5"/>
      <c r="E16" s="5"/>
      <c r="F16" s="5"/>
      <c r="G16" s="5"/>
    </row>
    <row r="17" spans="2:7" ht="15" customHeight="1" x14ac:dyDescent="0.15">
      <c r="B17" s="7" t="s">
        <v>42</v>
      </c>
      <c r="C17" s="5"/>
      <c r="D17" s="5"/>
      <c r="E17" s="5"/>
      <c r="F17" s="5"/>
      <c r="G17" s="5"/>
    </row>
    <row r="19" spans="2:7" ht="20" customHeight="1" thickBot="1" x14ac:dyDescent="0.2">
      <c r="B19" s="46" t="s">
        <v>46</v>
      </c>
      <c r="D19" s="46" t="s">
        <v>47</v>
      </c>
    </row>
    <row r="20" spans="2:7" ht="15" customHeight="1" thickBot="1" x14ac:dyDescent="0.2">
      <c r="B20" s="44" t="s">
        <v>40</v>
      </c>
      <c r="D20" s="43" t="s">
        <v>8</v>
      </c>
    </row>
    <row r="21" spans="2:7" ht="15" customHeight="1" thickBot="1" x14ac:dyDescent="0.2">
      <c r="B21" s="45" t="s">
        <v>14</v>
      </c>
      <c r="D21" s="43" t="s">
        <v>9</v>
      </c>
    </row>
    <row r="22" spans="2:7" ht="15" customHeight="1" thickBot="1" x14ac:dyDescent="0.2">
      <c r="B22" s="43" t="s">
        <v>15</v>
      </c>
      <c r="D22" s="43" t="s">
        <v>10</v>
      </c>
    </row>
    <row r="23" spans="2:7" ht="15" customHeight="1" thickBot="1" x14ac:dyDescent="0.2">
      <c r="B23" s="43" t="s">
        <v>16</v>
      </c>
      <c r="D23" s="43" t="s">
        <v>11</v>
      </c>
    </row>
    <row r="24" spans="2:7" ht="15" customHeight="1" thickBot="1" x14ac:dyDescent="0.2">
      <c r="B24" s="43" t="s">
        <v>17</v>
      </c>
      <c r="D24" s="43" t="s">
        <v>12</v>
      </c>
    </row>
    <row r="25" spans="2:7" ht="15" customHeight="1" thickBot="1" x14ac:dyDescent="0.2">
      <c r="B25" s="45" t="s">
        <v>18</v>
      </c>
    </row>
    <row r="26" spans="2:7" ht="15" customHeight="1" thickBot="1" x14ac:dyDescent="0.2">
      <c r="B26" s="43" t="s">
        <v>19</v>
      </c>
    </row>
    <row r="27" spans="2:7" ht="15" customHeight="1" thickBot="1" x14ac:dyDescent="0.2">
      <c r="B27" s="43" t="s">
        <v>20</v>
      </c>
    </row>
    <row r="28" spans="2:7" ht="15" customHeight="1" thickBot="1" x14ac:dyDescent="0.2">
      <c r="B28" s="43" t="s">
        <v>21</v>
      </c>
    </row>
    <row r="29" spans="2:7" ht="15" customHeight="1" thickBot="1" x14ac:dyDescent="0.2">
      <c r="B29" s="45" t="s">
        <v>22</v>
      </c>
    </row>
    <row r="30" spans="2:7" ht="15" customHeight="1" thickBot="1" x14ac:dyDescent="0.2">
      <c r="B30" s="43" t="s">
        <v>23</v>
      </c>
    </row>
    <row r="31" spans="2:7" ht="15" customHeight="1" thickBot="1" x14ac:dyDescent="0.2">
      <c r="B31" s="43" t="s">
        <v>24</v>
      </c>
    </row>
    <row r="32" spans="2:7" ht="15" customHeight="1" thickBot="1" x14ac:dyDescent="0.2">
      <c r="B32" s="43" t="s">
        <v>25</v>
      </c>
    </row>
  </sheetData>
  <phoneticPr fontId="3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AEEF-239A-4E08-AC28-F0A33A2E2C4B}">
  <dimension ref="B1:P43"/>
  <sheetViews>
    <sheetView workbookViewId="0">
      <pane ySplit="2" topLeftCell="A3" activePane="bottomLeft" state="frozen"/>
      <selection pane="bottomLeft"/>
    </sheetView>
  </sheetViews>
  <sheetFormatPr baseColWidth="10" defaultColWidth="9" defaultRowHeight="15" customHeight="1" x14ac:dyDescent="0.15"/>
  <cols>
    <col min="1" max="1" width="2.796875" customWidth="1"/>
    <col min="2" max="2" width="7.59765625" customWidth="1"/>
    <col min="3" max="3" width="14.19921875" customWidth="1"/>
    <col min="4" max="4" width="5.796875" customWidth="1"/>
    <col min="5" max="16" width="15.796875" customWidth="1"/>
  </cols>
  <sheetData>
    <row r="1" spans="2:9" s="2" customFormat="1" ht="30" customHeight="1" x14ac:dyDescent="0.15">
      <c r="B1" s="2" t="s">
        <v>7</v>
      </c>
    </row>
    <row r="2" spans="2:9" s="1" customFormat="1" ht="20" customHeight="1" x14ac:dyDescent="0.15">
      <c r="B2" s="35" t="s">
        <v>37</v>
      </c>
      <c r="C2" s="21">
        <v>2022</v>
      </c>
      <c r="D2" s="35"/>
      <c r="E2" s="36"/>
    </row>
    <row r="3" spans="2:9" ht="10" customHeight="1" x14ac:dyDescent="0.15"/>
    <row r="4" spans="2:9" ht="20" customHeight="1" thickBot="1" x14ac:dyDescent="0.2">
      <c r="B4" s="11" t="s">
        <v>13</v>
      </c>
      <c r="C4" s="11"/>
      <c r="D4" s="11"/>
      <c r="E4" s="28" t="str">
        <f>Instructions!D20 &amp; " (kg)"</f>
        <v>Material 1 (kg)</v>
      </c>
      <c r="F4" s="28" t="str">
        <f>Instructions!D21 &amp; " (kg)"</f>
        <v>Material 2 (kg)</v>
      </c>
      <c r="G4" s="28" t="str">
        <f>Instructions!D22 &amp; " (kg)"</f>
        <v>Material 3 (kg)</v>
      </c>
      <c r="H4" s="28" t="str">
        <f>Instructions!D23 &amp; " (kg)"</f>
        <v>Material 4 (kg)</v>
      </c>
      <c r="I4" s="28" t="str">
        <f>Instructions!D24 &amp; " (kg)"</f>
        <v>Material 5 (kg)</v>
      </c>
    </row>
    <row r="5" spans="2:9" ht="20" customHeight="1" thickBot="1" x14ac:dyDescent="0.2">
      <c r="B5" s="40" t="str">
        <f>Instructions!B20</f>
        <v>All Products</v>
      </c>
      <c r="C5" s="40"/>
      <c r="D5" s="40"/>
      <c r="E5" s="41">
        <f>E6+E11+E16</f>
        <v>2.3000000000000003</v>
      </c>
      <c r="F5" s="41">
        <f t="shared" ref="F5:I5" si="0">F6+F11+F16</f>
        <v>3.55</v>
      </c>
      <c r="G5" s="41">
        <f t="shared" si="0"/>
        <v>1.9500000000000002</v>
      </c>
      <c r="H5" s="41">
        <f t="shared" si="0"/>
        <v>3.7</v>
      </c>
      <c r="I5" s="41">
        <f t="shared" si="0"/>
        <v>1.27</v>
      </c>
    </row>
    <row r="6" spans="2:9" ht="15" customHeight="1" thickBot="1" x14ac:dyDescent="0.2">
      <c r="B6" s="8" t="str">
        <f>Instructions!B21</f>
        <v>Product Category 1</v>
      </c>
      <c r="C6" s="8"/>
      <c r="D6" s="8"/>
      <c r="E6" s="15">
        <f>SUM(E7:E9)</f>
        <v>1.2000000000000002</v>
      </c>
      <c r="F6" s="15">
        <f t="shared" ref="F6:I6" si="1">SUM(F7:F9)</f>
        <v>1</v>
      </c>
      <c r="G6" s="15">
        <f t="shared" si="1"/>
        <v>0.45000000000000007</v>
      </c>
      <c r="H6" s="15">
        <f t="shared" si="1"/>
        <v>0.75</v>
      </c>
      <c r="I6" s="15">
        <f t="shared" si="1"/>
        <v>0.4</v>
      </c>
    </row>
    <row r="7" spans="2:9" ht="15" customHeight="1" thickBot="1" x14ac:dyDescent="0.2">
      <c r="B7" s="5" t="str">
        <f>Instructions!B22</f>
        <v>Product 1</v>
      </c>
      <c r="C7" s="5"/>
      <c r="D7" s="5"/>
      <c r="E7" s="12">
        <v>0.3</v>
      </c>
      <c r="F7" s="12">
        <v>0.25</v>
      </c>
      <c r="G7" s="12">
        <v>0.1</v>
      </c>
      <c r="H7" s="12">
        <v>0.25</v>
      </c>
      <c r="I7" s="12">
        <v>0.15</v>
      </c>
    </row>
    <row r="8" spans="2:9" ht="15" customHeight="1" thickBot="1" x14ac:dyDescent="0.2">
      <c r="B8" s="5" t="str">
        <f>Instructions!B23</f>
        <v>Product 2</v>
      </c>
      <c r="C8" s="5"/>
      <c r="D8" s="5"/>
      <c r="E8" s="12">
        <v>0.5</v>
      </c>
      <c r="F8" s="12">
        <v>0.4</v>
      </c>
      <c r="G8" s="12">
        <v>0.2</v>
      </c>
      <c r="H8" s="12">
        <v>0.2</v>
      </c>
      <c r="I8" s="12">
        <v>0.05</v>
      </c>
    </row>
    <row r="9" spans="2:9" ht="15" customHeight="1" thickBot="1" x14ac:dyDescent="0.2">
      <c r="B9" s="5" t="str">
        <f>Instructions!B24</f>
        <v>Product 3</v>
      </c>
      <c r="C9" s="5"/>
      <c r="D9" s="5"/>
      <c r="E9" s="12">
        <v>0.4</v>
      </c>
      <c r="F9" s="12">
        <v>0.35</v>
      </c>
      <c r="G9" s="12">
        <v>0.15</v>
      </c>
      <c r="H9" s="12">
        <v>0.3</v>
      </c>
      <c r="I9" s="12">
        <v>0.2</v>
      </c>
    </row>
    <row r="11" spans="2:9" ht="15" customHeight="1" thickBot="1" x14ac:dyDescent="0.2">
      <c r="B11" s="8" t="str">
        <f>Instructions!B25</f>
        <v>Product Category 2</v>
      </c>
      <c r="C11" s="8"/>
      <c r="D11" s="8"/>
      <c r="E11" s="14">
        <f>SUM(E12:E14)</f>
        <v>0.64999999999999991</v>
      </c>
      <c r="F11" s="14">
        <f t="shared" ref="F11" si="2">SUM(F12:F14)</f>
        <v>1.05</v>
      </c>
      <c r="G11" s="14">
        <f t="shared" ref="G11" si="3">SUM(G12:G14)</f>
        <v>0.45000000000000007</v>
      </c>
      <c r="H11" s="14">
        <f t="shared" ref="H11" si="4">SUM(H12:H14)</f>
        <v>2.7</v>
      </c>
      <c r="I11" s="14">
        <f t="shared" ref="I11" si="5">SUM(I12:I14)</f>
        <v>0.70000000000000007</v>
      </c>
    </row>
    <row r="12" spans="2:9" ht="15" customHeight="1" thickBot="1" x14ac:dyDescent="0.2">
      <c r="B12" s="5" t="str">
        <f>Instructions!B26</f>
        <v>Product 4</v>
      </c>
      <c r="C12" s="5"/>
      <c r="D12" s="5"/>
      <c r="E12" s="12">
        <v>0.15</v>
      </c>
      <c r="F12" s="12">
        <v>0.3</v>
      </c>
      <c r="G12" s="12">
        <v>0.2</v>
      </c>
      <c r="H12" s="12">
        <v>0.9</v>
      </c>
      <c r="I12" s="12">
        <v>0.3</v>
      </c>
    </row>
    <row r="13" spans="2:9" ht="15" customHeight="1" thickBot="1" x14ac:dyDescent="0.2">
      <c r="B13" s="5" t="str">
        <f>Instructions!B27</f>
        <v>Product 5</v>
      </c>
      <c r="C13" s="5"/>
      <c r="D13" s="5"/>
      <c r="E13" s="12">
        <v>0.3</v>
      </c>
      <c r="F13" s="12">
        <v>0.45</v>
      </c>
      <c r="G13" s="12">
        <v>0.1</v>
      </c>
      <c r="H13" s="12">
        <v>0.85</v>
      </c>
      <c r="I13" s="12">
        <v>0.25</v>
      </c>
    </row>
    <row r="14" spans="2:9" ht="15" customHeight="1" thickBot="1" x14ac:dyDescent="0.2">
      <c r="B14" s="5" t="str">
        <f>Instructions!B28</f>
        <v>Product 6</v>
      </c>
      <c r="C14" s="5"/>
      <c r="D14" s="5"/>
      <c r="E14" s="12">
        <v>0.2</v>
      </c>
      <c r="F14" s="12">
        <v>0.3</v>
      </c>
      <c r="G14" s="12">
        <v>0.15</v>
      </c>
      <c r="H14" s="12">
        <v>0.95</v>
      </c>
      <c r="I14" s="12">
        <v>0.15</v>
      </c>
    </row>
    <row r="16" spans="2:9" ht="15" customHeight="1" thickBot="1" x14ac:dyDescent="0.2">
      <c r="B16" s="8" t="str">
        <f>Instructions!B29</f>
        <v>Product Category 3</v>
      </c>
      <c r="C16" s="8"/>
      <c r="D16" s="8"/>
      <c r="E16" s="14">
        <f>SUM(E17:E19)</f>
        <v>0.45000000000000007</v>
      </c>
      <c r="F16" s="14">
        <f t="shared" ref="F16" si="6">SUM(F17:F19)</f>
        <v>1.5</v>
      </c>
      <c r="G16" s="14">
        <f t="shared" ref="G16" si="7">SUM(G17:G19)</f>
        <v>1.05</v>
      </c>
      <c r="H16" s="14">
        <f t="shared" ref="H16" si="8">SUM(H17:H19)</f>
        <v>0.25</v>
      </c>
      <c r="I16" s="14">
        <f t="shared" ref="I16" si="9">SUM(I17:I19)</f>
        <v>0.17</v>
      </c>
    </row>
    <row r="17" spans="2:16" ht="15" customHeight="1" thickBot="1" x14ac:dyDescent="0.2">
      <c r="B17" s="5" t="str">
        <f>Instructions!B30</f>
        <v>Product 7</v>
      </c>
      <c r="C17" s="5"/>
      <c r="D17" s="5"/>
      <c r="E17" s="12">
        <v>0.2</v>
      </c>
      <c r="F17" s="12">
        <v>0.6</v>
      </c>
      <c r="G17" s="12">
        <v>0.35</v>
      </c>
      <c r="H17" s="12">
        <v>0.05</v>
      </c>
      <c r="I17" s="12">
        <v>0.02</v>
      </c>
    </row>
    <row r="18" spans="2:16" ht="15" customHeight="1" thickBot="1" x14ac:dyDescent="0.2">
      <c r="B18" s="5" t="str">
        <f>Instructions!B31</f>
        <v>Product 8</v>
      </c>
      <c r="C18" s="5"/>
      <c r="D18" s="5"/>
      <c r="E18" s="12">
        <v>0.1</v>
      </c>
      <c r="F18" s="12">
        <v>0.4</v>
      </c>
      <c r="G18" s="12">
        <v>0.4</v>
      </c>
      <c r="H18" s="12">
        <v>0.1</v>
      </c>
      <c r="I18" s="12">
        <v>0.05</v>
      </c>
    </row>
    <row r="19" spans="2:16" ht="15" customHeight="1" thickBot="1" x14ac:dyDescent="0.2">
      <c r="B19" s="5" t="str">
        <f>Instructions!B32</f>
        <v>Product 9</v>
      </c>
      <c r="C19" s="5"/>
      <c r="D19" s="5"/>
      <c r="E19" s="12">
        <v>0.15</v>
      </c>
      <c r="F19" s="12">
        <v>0.5</v>
      </c>
      <c r="G19" s="12">
        <v>0.3</v>
      </c>
      <c r="H19" s="12">
        <v>0.1</v>
      </c>
      <c r="I19" s="12">
        <v>0.1</v>
      </c>
    </row>
    <row r="21" spans="2:16" ht="20" customHeight="1" thickBot="1" x14ac:dyDescent="0.2">
      <c r="B21" s="11" t="s">
        <v>39</v>
      </c>
      <c r="C21" s="11"/>
      <c r="D21" s="11"/>
      <c r="E21" s="39">
        <f>DATE(Sel_Year, 1, 1)</f>
        <v>44562</v>
      </c>
      <c r="F21" s="39">
        <f>DATE(Sel_Year, 2, 1)</f>
        <v>44593</v>
      </c>
      <c r="G21" s="39">
        <f>DATE(Sel_Year, 3, 1)</f>
        <v>44621</v>
      </c>
      <c r="H21" s="39">
        <f>DATE(Sel_Year, 4, 1)</f>
        <v>44652</v>
      </c>
      <c r="I21" s="39">
        <f>DATE(Sel_Year, 5, 1)</f>
        <v>44682</v>
      </c>
      <c r="J21" s="39">
        <f>DATE(Sel_Year, 6, 1)</f>
        <v>44713</v>
      </c>
      <c r="K21" s="39">
        <f>DATE(Sel_Year, 7, 1)</f>
        <v>44743</v>
      </c>
      <c r="L21" s="39">
        <f>DATE(Sel_Year, 8, 1)</f>
        <v>44774</v>
      </c>
      <c r="M21" s="39">
        <f>DATE(Sel_Year, 9, 1)</f>
        <v>44805</v>
      </c>
      <c r="N21" s="39">
        <f>DATE(Sel_Year, 10, 1)</f>
        <v>44835</v>
      </c>
      <c r="O21" s="39">
        <f>DATE(Sel_Year, 11, 1)</f>
        <v>44866</v>
      </c>
      <c r="P21" s="39">
        <f>DATE(Sel_Year, 12, 1)</f>
        <v>44896</v>
      </c>
    </row>
    <row r="22" spans="2:16" ht="15" customHeight="1" thickBot="1" x14ac:dyDescent="0.2">
      <c r="B22" s="5" t="str">
        <f>Instructions!D20</f>
        <v>Material 1</v>
      </c>
      <c r="C22" s="5"/>
      <c r="D22" s="5"/>
      <c r="E22" s="10">
        <v>10</v>
      </c>
      <c r="F22" s="10">
        <v>10.199999999999999</v>
      </c>
      <c r="G22" s="10">
        <v>10.4</v>
      </c>
      <c r="H22" s="10">
        <v>10.6</v>
      </c>
      <c r="I22" s="10">
        <v>10.8</v>
      </c>
      <c r="J22" s="10">
        <v>11</v>
      </c>
      <c r="K22" s="10">
        <v>11.2</v>
      </c>
      <c r="L22" s="10">
        <v>11.4</v>
      </c>
      <c r="M22" s="10">
        <v>11.6</v>
      </c>
      <c r="N22" s="10">
        <v>11.8</v>
      </c>
      <c r="O22" s="10">
        <v>12</v>
      </c>
      <c r="P22" s="10">
        <v>12.2</v>
      </c>
    </row>
    <row r="23" spans="2:16" ht="15" customHeight="1" thickBot="1" x14ac:dyDescent="0.2">
      <c r="B23" s="5" t="str">
        <f>Instructions!D21</f>
        <v>Material 2</v>
      </c>
      <c r="C23" s="5"/>
      <c r="D23" s="5"/>
      <c r="E23" s="10">
        <v>5</v>
      </c>
      <c r="F23" s="10">
        <v>5.5</v>
      </c>
      <c r="G23" s="10">
        <v>6</v>
      </c>
      <c r="H23" s="10">
        <v>6.5</v>
      </c>
      <c r="I23" s="10">
        <v>7</v>
      </c>
      <c r="J23" s="10">
        <v>7.5</v>
      </c>
      <c r="K23" s="10">
        <v>8</v>
      </c>
      <c r="L23" s="10">
        <v>8.5</v>
      </c>
      <c r="M23" s="10">
        <v>9</v>
      </c>
      <c r="N23" s="10">
        <v>9.5</v>
      </c>
      <c r="O23" s="10">
        <v>10</v>
      </c>
      <c r="P23" s="10">
        <v>10.5</v>
      </c>
    </row>
    <row r="24" spans="2:16" ht="15" customHeight="1" thickBot="1" x14ac:dyDescent="0.2">
      <c r="B24" s="5" t="str">
        <f>Instructions!D22</f>
        <v>Material 3</v>
      </c>
      <c r="C24" s="5"/>
      <c r="D24" s="5"/>
      <c r="E24" s="10">
        <v>2.5</v>
      </c>
      <c r="F24" s="10">
        <v>2.75</v>
      </c>
      <c r="G24" s="10">
        <v>3</v>
      </c>
      <c r="H24" s="10">
        <v>3.25</v>
      </c>
      <c r="I24" s="10">
        <v>3.5</v>
      </c>
      <c r="J24" s="10">
        <v>3.75</v>
      </c>
      <c r="K24" s="10">
        <v>4</v>
      </c>
      <c r="L24" s="10">
        <v>4.25</v>
      </c>
      <c r="M24" s="10">
        <v>4.5</v>
      </c>
      <c r="N24" s="10">
        <v>4.75</v>
      </c>
      <c r="O24" s="10">
        <v>5</v>
      </c>
      <c r="P24" s="10">
        <v>5.25</v>
      </c>
    </row>
    <row r="25" spans="2:16" ht="15" customHeight="1" thickBot="1" x14ac:dyDescent="0.2">
      <c r="B25" s="5" t="str">
        <f>Instructions!D23</f>
        <v>Material 4</v>
      </c>
      <c r="C25" s="5"/>
      <c r="D25" s="5"/>
      <c r="E25" s="10">
        <v>7.5</v>
      </c>
      <c r="F25" s="10">
        <v>7.55</v>
      </c>
      <c r="G25" s="10">
        <v>7.6</v>
      </c>
      <c r="H25" s="10">
        <v>7.65</v>
      </c>
      <c r="I25" s="10">
        <v>7.7</v>
      </c>
      <c r="J25" s="10">
        <v>7.75</v>
      </c>
      <c r="K25" s="10">
        <v>7.8</v>
      </c>
      <c r="L25" s="10">
        <v>7.85</v>
      </c>
      <c r="M25" s="10">
        <v>7.9</v>
      </c>
      <c r="N25" s="10">
        <v>7.95</v>
      </c>
      <c r="O25" s="10">
        <v>8</v>
      </c>
      <c r="P25" s="10">
        <v>8.0500000000000007</v>
      </c>
    </row>
    <row r="26" spans="2:16" ht="15" customHeight="1" thickBot="1" x14ac:dyDescent="0.2">
      <c r="B26" s="5" t="str">
        <f>Instructions!D24</f>
        <v>Material 5</v>
      </c>
      <c r="C26" s="5"/>
      <c r="D26" s="5"/>
      <c r="E26" s="10">
        <v>1</v>
      </c>
      <c r="F26" s="10">
        <v>1.1000000000000001</v>
      </c>
      <c r="G26" s="10">
        <v>1.2</v>
      </c>
      <c r="H26" s="10">
        <v>1.3</v>
      </c>
      <c r="I26" s="10">
        <v>1.4</v>
      </c>
      <c r="J26" s="10">
        <v>1.5</v>
      </c>
      <c r="K26" s="10">
        <v>1.6</v>
      </c>
      <c r="L26" s="10">
        <v>1.7</v>
      </c>
      <c r="M26" s="10">
        <v>1.8</v>
      </c>
      <c r="N26" s="10">
        <v>1.9</v>
      </c>
      <c r="O26" s="10">
        <v>2</v>
      </c>
      <c r="P26" s="10">
        <v>2.1</v>
      </c>
    </row>
    <row r="28" spans="2:16" ht="20" customHeight="1" thickBot="1" x14ac:dyDescent="0.2">
      <c r="B28" s="11" t="s">
        <v>38</v>
      </c>
      <c r="C28" s="11"/>
      <c r="D28" s="11"/>
      <c r="E28" s="39">
        <f>DATE(Sel_Year, 1, 1)</f>
        <v>44562</v>
      </c>
      <c r="F28" s="39">
        <f>DATE(Sel_Year, 2, 1)</f>
        <v>44593</v>
      </c>
      <c r="G28" s="39">
        <f>DATE(Sel_Year, 3, 1)</f>
        <v>44621</v>
      </c>
      <c r="H28" s="39">
        <f>DATE(Sel_Year, 4, 1)</f>
        <v>44652</v>
      </c>
      <c r="I28" s="39">
        <f>DATE(Sel_Year, 5, 1)</f>
        <v>44682</v>
      </c>
      <c r="J28" s="39">
        <f>DATE(Sel_Year, 6, 1)</f>
        <v>44713</v>
      </c>
      <c r="K28" s="39">
        <f>DATE(Sel_Year, 7, 1)</f>
        <v>44743</v>
      </c>
      <c r="L28" s="39">
        <f>DATE(Sel_Year, 8, 1)</f>
        <v>44774</v>
      </c>
      <c r="M28" s="39">
        <f>DATE(Sel_Year, 9, 1)</f>
        <v>44805</v>
      </c>
      <c r="N28" s="39">
        <f>DATE(Sel_Year, 10, 1)</f>
        <v>44835</v>
      </c>
      <c r="O28" s="39">
        <f>DATE(Sel_Year, 11, 1)</f>
        <v>44866</v>
      </c>
      <c r="P28" s="39">
        <f>DATE(Sel_Year, 12, 1)</f>
        <v>44896</v>
      </c>
    </row>
    <row r="29" spans="2:16" ht="20" customHeight="1" thickBot="1" x14ac:dyDescent="0.2">
      <c r="B29" s="40" t="str">
        <f>Instructions!B20</f>
        <v>All Products</v>
      </c>
      <c r="C29" s="40"/>
      <c r="D29" s="40"/>
      <c r="E29" s="42">
        <f>E30+E35+E40</f>
        <v>74.64500000000001</v>
      </c>
      <c r="F29" s="42">
        <f t="shared" ref="F29:P29" si="10">F30+F35+F40</f>
        <v>77.67949999999999</v>
      </c>
      <c r="G29" s="42">
        <f t="shared" si="10"/>
        <v>80.713999999999999</v>
      </c>
      <c r="H29" s="42">
        <f t="shared" si="10"/>
        <v>83.748500000000007</v>
      </c>
      <c r="I29" s="42">
        <f t="shared" si="10"/>
        <v>86.783000000000015</v>
      </c>
      <c r="J29" s="42">
        <f t="shared" si="10"/>
        <v>89.817499999999995</v>
      </c>
      <c r="K29" s="42">
        <f t="shared" si="10"/>
        <v>92.852000000000004</v>
      </c>
      <c r="L29" s="42">
        <f t="shared" si="10"/>
        <v>95.886500000000012</v>
      </c>
      <c r="M29" s="42">
        <f t="shared" si="10"/>
        <v>98.920999999999992</v>
      </c>
      <c r="N29" s="42">
        <f t="shared" si="10"/>
        <v>101.9555</v>
      </c>
      <c r="O29" s="42">
        <f t="shared" si="10"/>
        <v>104.99</v>
      </c>
      <c r="P29" s="42">
        <f t="shared" si="10"/>
        <v>108.0245</v>
      </c>
    </row>
    <row r="30" spans="2:16" ht="15" customHeight="1" thickBot="1" x14ac:dyDescent="0.2">
      <c r="B30" s="8" t="str">
        <f>Instructions!B21</f>
        <v>Product Category 1</v>
      </c>
      <c r="C30" s="8"/>
      <c r="D30" s="8"/>
      <c r="E30" s="37">
        <f>SUM(E31:E33)</f>
        <v>24.15</v>
      </c>
      <c r="F30" s="37">
        <f t="shared" ref="F30:P30" si="11">SUM(F31:F33)</f>
        <v>25.08</v>
      </c>
      <c r="G30" s="37">
        <f t="shared" si="11"/>
        <v>26.01</v>
      </c>
      <c r="H30" s="37">
        <f t="shared" si="11"/>
        <v>26.939999999999998</v>
      </c>
      <c r="I30" s="37">
        <f t="shared" si="11"/>
        <v>27.869999999999997</v>
      </c>
      <c r="J30" s="37">
        <f t="shared" si="11"/>
        <v>28.799999999999997</v>
      </c>
      <c r="K30" s="37">
        <f t="shared" si="11"/>
        <v>29.73</v>
      </c>
      <c r="L30" s="37">
        <f t="shared" si="11"/>
        <v>30.660000000000004</v>
      </c>
      <c r="M30" s="37">
        <f t="shared" si="11"/>
        <v>31.590000000000003</v>
      </c>
      <c r="N30" s="37">
        <f t="shared" si="11"/>
        <v>32.520000000000003</v>
      </c>
      <c r="O30" s="37">
        <f t="shared" si="11"/>
        <v>33.450000000000003</v>
      </c>
      <c r="P30" s="37">
        <f t="shared" si="11"/>
        <v>34.380000000000003</v>
      </c>
    </row>
    <row r="31" spans="2:16" ht="15" customHeight="1" thickBot="1" x14ac:dyDescent="0.2">
      <c r="B31" s="5" t="str">
        <f>Instructions!B22</f>
        <v>Product 1</v>
      </c>
      <c r="C31" s="5"/>
      <c r="D31" s="5"/>
      <c r="E31" s="13">
        <f>$E7 * E$22 + $F7 * E$23 + $G7 * E$24 + $H7 * E$25 + $I7 * E$26</f>
        <v>6.5250000000000004</v>
      </c>
      <c r="F31" s="13">
        <f t="shared" ref="F31:P31" si="12">$E7 * F$22 + $F7 * F$23 + $G7 * F$24 + $H7 * F$25 + $I7 * F$26</f>
        <v>6.7625000000000002</v>
      </c>
      <c r="G31" s="13">
        <f t="shared" si="12"/>
        <v>7</v>
      </c>
      <c r="H31" s="13">
        <f t="shared" si="12"/>
        <v>7.2375000000000007</v>
      </c>
      <c r="I31" s="13">
        <f t="shared" si="12"/>
        <v>7.4749999999999996</v>
      </c>
      <c r="J31" s="13">
        <f t="shared" si="12"/>
        <v>7.7124999999999995</v>
      </c>
      <c r="K31" s="13">
        <f t="shared" si="12"/>
        <v>7.95</v>
      </c>
      <c r="L31" s="13">
        <f t="shared" si="12"/>
        <v>8.1875</v>
      </c>
      <c r="M31" s="13">
        <f t="shared" si="12"/>
        <v>8.4250000000000007</v>
      </c>
      <c r="N31" s="13">
        <f t="shared" si="12"/>
        <v>8.6624999999999996</v>
      </c>
      <c r="O31" s="13">
        <f t="shared" si="12"/>
        <v>8.9</v>
      </c>
      <c r="P31" s="13">
        <f t="shared" si="12"/>
        <v>9.1375000000000011</v>
      </c>
    </row>
    <row r="32" spans="2:16" ht="15" customHeight="1" thickBot="1" x14ac:dyDescent="0.2">
      <c r="B32" s="5" t="str">
        <f>Instructions!B23</f>
        <v>Product 2</v>
      </c>
      <c r="C32" s="5"/>
      <c r="D32" s="5"/>
      <c r="E32" s="13">
        <f>$E8 * E$22 + $F8 * E$23 + $G8 * E$24 + $H8 * E$25 + $I8 * E$26</f>
        <v>9.0500000000000007</v>
      </c>
      <c r="F32" s="13">
        <f t="shared" ref="F32:P32" si="13">$E8 * F$22 + $F8 * F$23 + $G8 * F$24 + $H8 * F$25 + $I8 * F$26</f>
        <v>9.4149999999999991</v>
      </c>
      <c r="G32" s="13">
        <f t="shared" si="13"/>
        <v>9.7800000000000011</v>
      </c>
      <c r="H32" s="13">
        <f t="shared" si="13"/>
        <v>10.145000000000001</v>
      </c>
      <c r="I32" s="13">
        <f t="shared" si="13"/>
        <v>10.510000000000002</v>
      </c>
      <c r="J32" s="13">
        <f t="shared" si="13"/>
        <v>10.875</v>
      </c>
      <c r="K32" s="13">
        <f t="shared" si="13"/>
        <v>11.240000000000002</v>
      </c>
      <c r="L32" s="13">
        <f t="shared" si="13"/>
        <v>11.605000000000002</v>
      </c>
      <c r="M32" s="13">
        <f t="shared" si="13"/>
        <v>11.97</v>
      </c>
      <c r="N32" s="13">
        <f t="shared" si="13"/>
        <v>12.335000000000001</v>
      </c>
      <c r="O32" s="13">
        <f t="shared" si="13"/>
        <v>12.7</v>
      </c>
      <c r="P32" s="13">
        <f t="shared" si="13"/>
        <v>13.065000000000001</v>
      </c>
    </row>
    <row r="33" spans="2:16" ht="15" customHeight="1" thickBot="1" x14ac:dyDescent="0.2">
      <c r="B33" s="5" t="str">
        <f>Instructions!B24</f>
        <v>Product 3</v>
      </c>
      <c r="C33" s="5"/>
      <c r="D33" s="5"/>
      <c r="E33" s="13">
        <f>$E9 * E$22 + $F9 * E$23 + $G9 * E$24 + $H9 * E$25 + $I9 * E$26</f>
        <v>8.5749999999999993</v>
      </c>
      <c r="F33" s="13">
        <f t="shared" ref="F33:P33" si="14">$E9 * F$22 + $F9 * F$23 + $G9 * F$24 + $H9 * F$25 + $I9 * F$26</f>
        <v>8.9024999999999999</v>
      </c>
      <c r="G33" s="13">
        <f t="shared" si="14"/>
        <v>9.23</v>
      </c>
      <c r="H33" s="13">
        <f t="shared" si="14"/>
        <v>9.5574999999999992</v>
      </c>
      <c r="I33" s="13">
        <f t="shared" si="14"/>
        <v>9.8849999999999998</v>
      </c>
      <c r="J33" s="13">
        <f t="shared" si="14"/>
        <v>10.2125</v>
      </c>
      <c r="K33" s="13">
        <f t="shared" si="14"/>
        <v>10.54</v>
      </c>
      <c r="L33" s="13">
        <f t="shared" si="14"/>
        <v>10.8675</v>
      </c>
      <c r="M33" s="13">
        <f t="shared" si="14"/>
        <v>11.195</v>
      </c>
      <c r="N33" s="13">
        <f t="shared" si="14"/>
        <v>11.522500000000001</v>
      </c>
      <c r="O33" s="13">
        <f t="shared" si="14"/>
        <v>11.850000000000001</v>
      </c>
      <c r="P33" s="13">
        <f t="shared" si="14"/>
        <v>12.1775</v>
      </c>
    </row>
    <row r="35" spans="2:16" ht="15" customHeight="1" thickBot="1" x14ac:dyDescent="0.2">
      <c r="B35" s="8" t="str">
        <f>Instructions!B25</f>
        <v>Product Category 2</v>
      </c>
      <c r="C35" s="8"/>
      <c r="D35" s="8"/>
      <c r="E35" s="37">
        <f>SUM(E36:E38)</f>
        <v>33.825000000000003</v>
      </c>
      <c r="F35" s="37">
        <f t="shared" ref="F35" si="15">SUM(F36:F38)</f>
        <v>34.797499999999999</v>
      </c>
      <c r="G35" s="37">
        <f t="shared" ref="G35" si="16">SUM(G36:G38)</f>
        <v>35.769999999999996</v>
      </c>
      <c r="H35" s="37">
        <f t="shared" ref="H35" si="17">SUM(H36:H38)</f>
        <v>36.742500000000007</v>
      </c>
      <c r="I35" s="37">
        <f t="shared" ref="I35" si="18">SUM(I36:I38)</f>
        <v>37.715000000000003</v>
      </c>
      <c r="J35" s="37">
        <f t="shared" ref="J35" si="19">SUM(J36:J38)</f>
        <v>38.6875</v>
      </c>
      <c r="K35" s="37">
        <f t="shared" ref="K35" si="20">SUM(K36:K38)</f>
        <v>39.659999999999997</v>
      </c>
      <c r="L35" s="37">
        <f t="shared" ref="L35" si="21">SUM(L36:L38)</f>
        <v>40.6325</v>
      </c>
      <c r="M35" s="37">
        <f t="shared" ref="M35" si="22">SUM(M36:M38)</f>
        <v>41.604999999999997</v>
      </c>
      <c r="N35" s="37">
        <f t="shared" ref="N35" si="23">SUM(N36:N38)</f>
        <v>42.577500000000001</v>
      </c>
      <c r="O35" s="37">
        <f t="shared" ref="O35" si="24">SUM(O36:O38)</f>
        <v>43.55</v>
      </c>
      <c r="P35" s="37">
        <f t="shared" ref="P35" si="25">SUM(P36:P38)</f>
        <v>44.522500000000001</v>
      </c>
    </row>
    <row r="36" spans="2:16" ht="15" customHeight="1" thickBot="1" x14ac:dyDescent="0.2">
      <c r="B36" s="5" t="str">
        <f>Instructions!B26</f>
        <v>Product 4</v>
      </c>
      <c r="C36" s="5"/>
      <c r="D36" s="5"/>
      <c r="E36" s="13">
        <f>$E12 * E$22 + $F12 * E$23 + $G12 * E$24 + $H12 * E$25 + $I12 * E$26</f>
        <v>10.55</v>
      </c>
      <c r="F36" s="13">
        <f t="shared" ref="F36:P36" si="26">$E12 * F$22 + $F12 * F$23 + $G12 * F$24 + $H12 * F$25 + $I12 * F$26</f>
        <v>10.854999999999999</v>
      </c>
      <c r="G36" s="13">
        <f t="shared" si="26"/>
        <v>11.16</v>
      </c>
      <c r="H36" s="13">
        <f t="shared" si="26"/>
        <v>11.465000000000002</v>
      </c>
      <c r="I36" s="13">
        <f t="shared" si="26"/>
        <v>11.770000000000001</v>
      </c>
      <c r="J36" s="13">
        <f t="shared" si="26"/>
        <v>12.074999999999999</v>
      </c>
      <c r="K36" s="13">
        <f t="shared" si="26"/>
        <v>12.379999999999999</v>
      </c>
      <c r="L36" s="13">
        <f t="shared" si="26"/>
        <v>12.684999999999999</v>
      </c>
      <c r="M36" s="13">
        <f t="shared" si="26"/>
        <v>12.989999999999998</v>
      </c>
      <c r="N36" s="13">
        <f t="shared" si="26"/>
        <v>13.295000000000002</v>
      </c>
      <c r="O36" s="13">
        <f t="shared" si="26"/>
        <v>13.6</v>
      </c>
      <c r="P36" s="13">
        <f t="shared" si="26"/>
        <v>13.905000000000001</v>
      </c>
    </row>
    <row r="37" spans="2:16" ht="15" customHeight="1" thickBot="1" x14ac:dyDescent="0.2">
      <c r="B37" s="5" t="str">
        <f>Instructions!B27</f>
        <v>Product 5</v>
      </c>
      <c r="C37" s="5"/>
      <c r="D37" s="5"/>
      <c r="E37" s="13">
        <f t="shared" ref="E37:P37" si="27">$E13 * E$22 + $F13 * E$23 + $G13 * E$24 + $H13 * E$25 + $I13 * E$26</f>
        <v>12.125</v>
      </c>
      <c r="F37" s="13">
        <f t="shared" si="27"/>
        <v>12.5025</v>
      </c>
      <c r="G37" s="13">
        <f t="shared" si="27"/>
        <v>12.88</v>
      </c>
      <c r="H37" s="13">
        <f t="shared" si="27"/>
        <v>13.2575</v>
      </c>
      <c r="I37" s="13">
        <f t="shared" si="27"/>
        <v>13.635</v>
      </c>
      <c r="J37" s="13">
        <f t="shared" si="27"/>
        <v>14.012499999999999</v>
      </c>
      <c r="K37" s="13">
        <f t="shared" si="27"/>
        <v>14.39</v>
      </c>
      <c r="L37" s="13">
        <f t="shared" si="27"/>
        <v>14.7675</v>
      </c>
      <c r="M37" s="13">
        <f t="shared" si="27"/>
        <v>15.145</v>
      </c>
      <c r="N37" s="13">
        <f t="shared" si="27"/>
        <v>15.522500000000001</v>
      </c>
      <c r="O37" s="13">
        <f t="shared" si="27"/>
        <v>15.899999999999999</v>
      </c>
      <c r="P37" s="13">
        <f t="shared" si="27"/>
        <v>16.2775</v>
      </c>
    </row>
    <row r="38" spans="2:16" ht="15" customHeight="1" thickBot="1" x14ac:dyDescent="0.2">
      <c r="B38" s="5" t="str">
        <f>Instructions!B28</f>
        <v>Product 6</v>
      </c>
      <c r="C38" s="5"/>
      <c r="D38" s="5"/>
      <c r="E38" s="13">
        <f t="shared" ref="E38:P38" si="28">$E14 * E$22 + $F14 * E$23 + $G14 * E$24 + $H14 * E$25 + $I14 * E$26</f>
        <v>11.15</v>
      </c>
      <c r="F38" s="13">
        <f t="shared" si="28"/>
        <v>11.439999999999998</v>
      </c>
      <c r="G38" s="13">
        <f t="shared" si="28"/>
        <v>11.73</v>
      </c>
      <c r="H38" s="13">
        <f t="shared" si="28"/>
        <v>12.02</v>
      </c>
      <c r="I38" s="13">
        <f t="shared" si="28"/>
        <v>12.31</v>
      </c>
      <c r="J38" s="13">
        <f t="shared" si="28"/>
        <v>12.6</v>
      </c>
      <c r="K38" s="13">
        <f t="shared" si="28"/>
        <v>12.889999999999999</v>
      </c>
      <c r="L38" s="13">
        <f t="shared" si="28"/>
        <v>13.180000000000001</v>
      </c>
      <c r="M38" s="13">
        <f t="shared" si="28"/>
        <v>13.469999999999999</v>
      </c>
      <c r="N38" s="13">
        <f t="shared" si="28"/>
        <v>13.760000000000002</v>
      </c>
      <c r="O38" s="13">
        <f t="shared" si="28"/>
        <v>14.05</v>
      </c>
      <c r="P38" s="13">
        <f t="shared" si="28"/>
        <v>14.339999999999998</v>
      </c>
    </row>
    <row r="40" spans="2:16" ht="15" customHeight="1" thickBot="1" x14ac:dyDescent="0.2">
      <c r="B40" s="8" t="str">
        <f>Instructions!B29</f>
        <v>Product Category 3</v>
      </c>
      <c r="C40" s="8"/>
      <c r="D40" s="8"/>
      <c r="E40" s="37">
        <f>SUM(E41:E43)</f>
        <v>16.670000000000002</v>
      </c>
      <c r="F40" s="37">
        <f t="shared" ref="F40" si="29">SUM(F41:F43)</f>
        <v>17.802</v>
      </c>
      <c r="G40" s="37">
        <f t="shared" ref="G40" si="30">SUM(G41:G43)</f>
        <v>18.934000000000001</v>
      </c>
      <c r="H40" s="37">
        <f t="shared" ref="H40" si="31">SUM(H41:H43)</f>
        <v>20.065999999999999</v>
      </c>
      <c r="I40" s="37">
        <f t="shared" ref="I40" si="32">SUM(I41:I43)</f>
        <v>21.198</v>
      </c>
      <c r="J40" s="37">
        <f t="shared" ref="J40" si="33">SUM(J41:J43)</f>
        <v>22.33</v>
      </c>
      <c r="K40" s="37">
        <f t="shared" ref="K40" si="34">SUM(K41:K43)</f>
        <v>23.462</v>
      </c>
      <c r="L40" s="37">
        <f t="shared" ref="L40" si="35">SUM(L41:L43)</f>
        <v>24.594000000000001</v>
      </c>
      <c r="M40" s="37">
        <f t="shared" ref="M40" si="36">SUM(M41:M43)</f>
        <v>25.725999999999996</v>
      </c>
      <c r="N40" s="37">
        <f t="shared" ref="N40" si="37">SUM(N41:N43)</f>
        <v>26.858000000000001</v>
      </c>
      <c r="O40" s="37">
        <f t="shared" ref="O40" si="38">SUM(O41:O43)</f>
        <v>27.99</v>
      </c>
      <c r="P40" s="37">
        <f t="shared" ref="P40" si="39">SUM(P41:P43)</f>
        <v>29.122</v>
      </c>
    </row>
    <row r="41" spans="2:16" ht="15" customHeight="1" thickBot="1" x14ac:dyDescent="0.2">
      <c r="B41" s="5" t="str">
        <f>Instructions!B30</f>
        <v>Product 7</v>
      </c>
      <c r="C41" s="5"/>
      <c r="D41" s="5"/>
      <c r="E41" s="13">
        <f>$E17 * E$22 + $F17 * E$23 + $G17 * E$24 + $H17 * E$25 + $I17 * E$26</f>
        <v>6.27</v>
      </c>
      <c r="F41" s="13">
        <f t="shared" ref="F41:P41" si="40">$E17 * F$22 + $F17 * F$23 + $G17 * F$24 + $H17 * F$25 + $I17 * F$26</f>
        <v>6.7020000000000008</v>
      </c>
      <c r="G41" s="13">
        <f t="shared" si="40"/>
        <v>7.1339999999999995</v>
      </c>
      <c r="H41" s="13">
        <f t="shared" si="40"/>
        <v>7.5659999999999998</v>
      </c>
      <c r="I41" s="13">
        <f t="shared" si="40"/>
        <v>7.9979999999999993</v>
      </c>
      <c r="J41" s="13">
        <f t="shared" si="40"/>
        <v>8.4299999999999979</v>
      </c>
      <c r="K41" s="13">
        <f t="shared" si="40"/>
        <v>8.8620000000000001</v>
      </c>
      <c r="L41" s="13">
        <f t="shared" si="40"/>
        <v>9.2940000000000005</v>
      </c>
      <c r="M41" s="13">
        <f t="shared" si="40"/>
        <v>9.7259999999999973</v>
      </c>
      <c r="N41" s="13">
        <f t="shared" si="40"/>
        <v>10.158000000000001</v>
      </c>
      <c r="O41" s="13">
        <f t="shared" si="40"/>
        <v>10.59</v>
      </c>
      <c r="P41" s="13">
        <f t="shared" si="40"/>
        <v>11.022</v>
      </c>
    </row>
    <row r="42" spans="2:16" ht="15" customHeight="1" thickBot="1" x14ac:dyDescent="0.2">
      <c r="B42" s="5" t="str">
        <f>Instructions!B31</f>
        <v>Product 8</v>
      </c>
      <c r="C42" s="5"/>
      <c r="D42" s="5"/>
      <c r="E42" s="13">
        <f t="shared" ref="E42:P42" si="41">$E18 * E$22 + $F18 * E$23 + $G18 * E$24 + $H18 * E$25 + $I18 * E$26</f>
        <v>4.8</v>
      </c>
      <c r="F42" s="13">
        <f t="shared" si="41"/>
        <v>5.13</v>
      </c>
      <c r="G42" s="13">
        <f t="shared" si="41"/>
        <v>5.46</v>
      </c>
      <c r="H42" s="13">
        <f t="shared" si="41"/>
        <v>5.79</v>
      </c>
      <c r="I42" s="13">
        <f t="shared" si="41"/>
        <v>6.120000000000001</v>
      </c>
      <c r="J42" s="13">
        <f t="shared" si="41"/>
        <v>6.45</v>
      </c>
      <c r="K42" s="13">
        <f t="shared" si="41"/>
        <v>6.78</v>
      </c>
      <c r="L42" s="13">
        <f t="shared" si="41"/>
        <v>7.1100000000000012</v>
      </c>
      <c r="M42" s="13">
        <f t="shared" si="41"/>
        <v>7.4399999999999995</v>
      </c>
      <c r="N42" s="13">
        <f t="shared" si="41"/>
        <v>7.7700000000000005</v>
      </c>
      <c r="O42" s="13">
        <f t="shared" si="41"/>
        <v>8.1</v>
      </c>
      <c r="P42" s="13">
        <f t="shared" si="41"/>
        <v>8.43</v>
      </c>
    </row>
    <row r="43" spans="2:16" ht="15" customHeight="1" thickBot="1" x14ac:dyDescent="0.2">
      <c r="B43" s="5" t="str">
        <f>Instructions!B32</f>
        <v>Product 9</v>
      </c>
      <c r="C43" s="5"/>
      <c r="D43" s="5"/>
      <c r="E43" s="13">
        <f t="shared" ref="E43:P43" si="42">$E19 * E$22 + $F19 * E$23 + $G19 * E$24 + $H19 * E$25 + $I19 * E$26</f>
        <v>5.6</v>
      </c>
      <c r="F43" s="13">
        <f t="shared" si="42"/>
        <v>5.97</v>
      </c>
      <c r="G43" s="13">
        <f t="shared" si="42"/>
        <v>6.3400000000000007</v>
      </c>
      <c r="H43" s="13">
        <f t="shared" si="42"/>
        <v>6.71</v>
      </c>
      <c r="I43" s="13">
        <f t="shared" si="42"/>
        <v>7.0799999999999992</v>
      </c>
      <c r="J43" s="13">
        <f t="shared" si="42"/>
        <v>7.4500000000000011</v>
      </c>
      <c r="K43" s="13">
        <f t="shared" si="42"/>
        <v>7.82</v>
      </c>
      <c r="L43" s="13">
        <f t="shared" si="42"/>
        <v>8.19</v>
      </c>
      <c r="M43" s="13">
        <f t="shared" si="42"/>
        <v>8.5599999999999987</v>
      </c>
      <c r="N43" s="13">
        <f t="shared" si="42"/>
        <v>8.93</v>
      </c>
      <c r="O43" s="13">
        <f t="shared" si="42"/>
        <v>9.3000000000000007</v>
      </c>
      <c r="P43" s="13">
        <f t="shared" si="42"/>
        <v>9.67</v>
      </c>
    </row>
  </sheetData>
  <phoneticPr fontId="30" type="noConversion"/>
  <dataValidations count="1">
    <dataValidation type="list" allowBlank="1" showInputMessage="1" showErrorMessage="1" sqref="C2" xr:uid="{B3B52958-FCDD-414C-8842-E4F51539BD99}">
      <formula1>"2021, 2022, 2023"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BDD4-AEEF-4ECF-9198-AC499884FC34}">
  <dimension ref="B1:W43"/>
  <sheetViews>
    <sheetView workbookViewId="0">
      <pane ySplit="2" topLeftCell="A3" activePane="bottomLeft" state="frozen"/>
      <selection pane="bottomLeft"/>
    </sheetView>
  </sheetViews>
  <sheetFormatPr baseColWidth="10" defaultColWidth="9" defaultRowHeight="15" customHeight="1" outlineLevelRow="1" x14ac:dyDescent="0.15"/>
  <cols>
    <col min="1" max="1" width="2.796875" customWidth="1"/>
    <col min="2" max="2" width="9.796875" customWidth="1"/>
    <col min="3" max="3" width="25.3984375" customWidth="1"/>
    <col min="4" max="4" width="1.796875" customWidth="1"/>
    <col min="5" max="6" width="8.796875" customWidth="1"/>
    <col min="7" max="22" width="11.796875" customWidth="1"/>
    <col min="23" max="23" width="16.19921875" style="19" customWidth="1"/>
  </cols>
  <sheetData>
    <row r="1" spans="2:23" s="2" customFormat="1" ht="30" customHeight="1" x14ac:dyDescent="0.15">
      <c r="B1" s="2" t="s">
        <v>26</v>
      </c>
      <c r="W1" s="18"/>
    </row>
    <row r="2" spans="2:23" s="1" customFormat="1" ht="20" customHeight="1" x14ac:dyDescent="0.15">
      <c r="B2" s="1" t="s">
        <v>33</v>
      </c>
      <c r="C2" s="22" t="s">
        <v>40</v>
      </c>
      <c r="E2" s="16" t="s">
        <v>27</v>
      </c>
      <c r="F2" s="16"/>
      <c r="G2" s="38">
        <f>DATE(Sel_Year, 1, 1)</f>
        <v>44562</v>
      </c>
      <c r="H2" s="38">
        <f>DATE(Sel_Year, 2, 1)</f>
        <v>44593</v>
      </c>
      <c r="I2" s="38">
        <f>DATE(Sel_Year, 3, 1)</f>
        <v>44621</v>
      </c>
      <c r="J2" s="17" t="str">
        <f>"Q1 '" &amp; RIGHT(Sel_Year, 2)</f>
        <v>Q1 '22</v>
      </c>
      <c r="K2" s="38">
        <f>DATE(Sel_Year, 4, 1)</f>
        <v>44652</v>
      </c>
      <c r="L2" s="38">
        <f>DATE(Sel_Year, 5, 1)</f>
        <v>44682</v>
      </c>
      <c r="M2" s="38">
        <f>DATE(Sel_Year, 6, 1)</f>
        <v>44713</v>
      </c>
      <c r="N2" s="17" t="str">
        <f>"Q2 '" &amp; RIGHT(Sel_Year, 2)</f>
        <v>Q2 '22</v>
      </c>
      <c r="O2" s="38">
        <f>DATE(Sel_Year, 7, 1)</f>
        <v>44743</v>
      </c>
      <c r="P2" s="38">
        <f>DATE(Sel_Year, 8, 1)</f>
        <v>44774</v>
      </c>
      <c r="Q2" s="38">
        <f>DATE(Sel_Year, 9, 1)</f>
        <v>44805</v>
      </c>
      <c r="R2" s="17" t="str">
        <f>"Q3 '" &amp; RIGHT(Sel_Year, 2)</f>
        <v>Q3 '22</v>
      </c>
      <c r="S2" s="38">
        <f>DATE(Sel_Year, 10, 1)</f>
        <v>44835</v>
      </c>
      <c r="T2" s="38">
        <f>DATE(Sel_Year, 11, 1)</f>
        <v>44866</v>
      </c>
      <c r="U2" s="38">
        <f>DATE(Sel_Year, 12, 1)</f>
        <v>44896</v>
      </c>
      <c r="V2" s="17" t="str">
        <f>"Q4 '" &amp; RIGHT(Sel_Year, 2)</f>
        <v>Q4 '22</v>
      </c>
      <c r="W2" s="17" t="str">
        <f>"Full Year '" &amp; RIGHT(Sel_Year, 2)</f>
        <v>Full Year '22</v>
      </c>
    </row>
    <row r="3" spans="2:23" ht="10" customHeight="1" x14ac:dyDescent="0.15"/>
    <row r="4" spans="2:23" ht="15" customHeight="1" outlineLevel="1" x14ac:dyDescent="0.15"/>
    <row r="5" spans="2:23" ht="15" customHeight="1" outlineLevel="1" x14ac:dyDescent="0.15"/>
    <row r="6" spans="2:23" ht="15" customHeight="1" outlineLevel="1" x14ac:dyDescent="0.15"/>
    <row r="7" spans="2:23" ht="15" customHeight="1" outlineLevel="1" x14ac:dyDescent="0.15"/>
    <row r="8" spans="2:23" ht="15" customHeight="1" outlineLevel="1" x14ac:dyDescent="0.15"/>
    <row r="9" spans="2:23" ht="15" customHeight="1" outlineLevel="1" x14ac:dyDescent="0.15"/>
    <row r="10" spans="2:23" ht="15" customHeight="1" outlineLevel="1" x14ac:dyDescent="0.15"/>
    <row r="11" spans="2:23" ht="15" customHeight="1" outlineLevel="1" x14ac:dyDescent="0.15"/>
    <row r="12" spans="2:23" ht="15" customHeight="1" outlineLevel="1" x14ac:dyDescent="0.15"/>
    <row r="13" spans="2:23" ht="15" customHeight="1" outlineLevel="1" x14ac:dyDescent="0.15"/>
    <row r="14" spans="2:23" ht="15" customHeight="1" outlineLevel="1" x14ac:dyDescent="0.15"/>
    <row r="15" spans="2:23" ht="15" customHeight="1" outlineLevel="1" x14ac:dyDescent="0.15"/>
    <row r="16" spans="2:23" ht="15" customHeight="1" outlineLevel="1" x14ac:dyDescent="0.15"/>
    <row r="17" spans="2:23" ht="15" customHeight="1" outlineLevel="1" x14ac:dyDescent="0.15"/>
    <row r="18" spans="2:23" ht="15" customHeight="1" outlineLevel="1" x14ac:dyDescent="0.15"/>
    <row r="19" spans="2:23" ht="15" customHeight="1" outlineLevel="1" x14ac:dyDescent="0.15"/>
    <row r="20" spans="2:23" ht="20" customHeight="1" thickBot="1" x14ac:dyDescent="0.2">
      <c r="B20" s="8" t="s">
        <v>28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5" customHeight="1" thickBot="1" x14ac:dyDescent="0.2">
      <c r="B21" s="5" t="s">
        <v>29</v>
      </c>
      <c r="C21" s="5"/>
      <c r="D21" s="5"/>
      <c r="E21" s="20" t="s">
        <v>30</v>
      </c>
      <c r="F21" s="20"/>
      <c r="G21" s="9">
        <v>1250</v>
      </c>
      <c r="H21" s="9">
        <v>2000</v>
      </c>
      <c r="I21" s="9">
        <v>1500</v>
      </c>
      <c r="J21" s="24">
        <f>SUM(G21:I21)</f>
        <v>4750</v>
      </c>
      <c r="K21" s="9">
        <v>1800</v>
      </c>
      <c r="L21" s="9">
        <v>2000</v>
      </c>
      <c r="M21" s="9">
        <v>1850</v>
      </c>
      <c r="N21" s="24">
        <f>SUM(K21:M21)</f>
        <v>5650</v>
      </c>
      <c r="O21" s="9">
        <v>2500</v>
      </c>
      <c r="P21" s="9">
        <v>2250</v>
      </c>
      <c r="Q21" s="9">
        <v>2000</v>
      </c>
      <c r="R21" s="24">
        <f>SUM(O21:Q21)</f>
        <v>6750</v>
      </c>
      <c r="S21" s="9">
        <v>2500</v>
      </c>
      <c r="T21" s="9">
        <v>3000</v>
      </c>
      <c r="U21" s="9">
        <v>3100</v>
      </c>
      <c r="V21" s="24">
        <f>SUM(S21:U21)</f>
        <v>8600</v>
      </c>
      <c r="W21" s="25">
        <f>J21+N21+R21+V21</f>
        <v>25750</v>
      </c>
    </row>
    <row r="23" spans="2:23" ht="20" customHeight="1" thickBot="1" x14ac:dyDescent="0.2">
      <c r="B23" s="8" t="s">
        <v>31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23" ht="15" customHeight="1" thickBot="1" x14ac:dyDescent="0.2">
      <c r="B24" s="5" t="str">
        <f>Instructions!D20</f>
        <v>Material 1</v>
      </c>
      <c r="C24" s="5"/>
      <c r="D24" s="5"/>
      <c r="E24" s="20" t="s">
        <v>32</v>
      </c>
      <c r="F24" s="23">
        <f>_xlfn.XLOOKUP(Sel_Product, 'Product Construction'!$B$5:$B$19, 'Product Construction'!$E$5:$E$19)</f>
        <v>2.3000000000000003</v>
      </c>
    </row>
    <row r="25" spans="2:23" ht="15" customHeight="1" thickBot="1" x14ac:dyDescent="0.2">
      <c r="B25" s="5" t="str">
        <f>Instructions!D21</f>
        <v>Material 2</v>
      </c>
      <c r="C25" s="5"/>
      <c r="D25" s="5"/>
      <c r="E25" s="20" t="s">
        <v>32</v>
      </c>
      <c r="F25" s="23">
        <f>_xlfn.XLOOKUP(Sel_Product, 'Product Construction'!$B$5:$B$19,'Product Construction'!$F$5:$F$19)</f>
        <v>3.55</v>
      </c>
    </row>
    <row r="26" spans="2:23" ht="15" customHeight="1" thickBot="1" x14ac:dyDescent="0.2">
      <c r="B26" s="5" t="str">
        <f>Instructions!D22</f>
        <v>Material 3</v>
      </c>
      <c r="C26" s="5"/>
      <c r="D26" s="5"/>
      <c r="E26" s="20" t="s">
        <v>32</v>
      </c>
      <c r="F26" s="23">
        <f>_xlfn.XLOOKUP(Sel_Product, 'Product Construction'!$B$5:$B$19, 'Product Construction'!$G$5:$G$19)</f>
        <v>1.9500000000000002</v>
      </c>
    </row>
    <row r="27" spans="2:23" ht="15" customHeight="1" thickBot="1" x14ac:dyDescent="0.2">
      <c r="B27" s="5" t="str">
        <f>Instructions!D23</f>
        <v>Material 4</v>
      </c>
      <c r="C27" s="5"/>
      <c r="D27" s="5"/>
      <c r="E27" s="20" t="s">
        <v>32</v>
      </c>
      <c r="F27" s="23">
        <f>_xlfn.XLOOKUP(Sel_Product, 'Product Construction'!$B$5:$B$19, 'Product Construction'!$H$5:$H$19)</f>
        <v>3.7</v>
      </c>
    </row>
    <row r="28" spans="2:23" ht="15" customHeight="1" thickBot="1" x14ac:dyDescent="0.2">
      <c r="B28" s="5" t="str">
        <f>Instructions!D24</f>
        <v>Material 5</v>
      </c>
      <c r="C28" s="5"/>
      <c r="D28" s="5"/>
      <c r="E28" s="20" t="s">
        <v>32</v>
      </c>
      <c r="F28" s="23">
        <f>_xlfn.XLOOKUP(Sel_Product, 'Product Construction'!$B$5:$B$19, 'Product Construction'!$I$5:$I$19)</f>
        <v>1.27</v>
      </c>
    </row>
    <row r="30" spans="2:23" ht="20" customHeight="1" thickBot="1" x14ac:dyDescent="0.2">
      <c r="B30" s="8" t="s">
        <v>34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2:23" ht="15" customHeight="1" thickBot="1" x14ac:dyDescent="0.2">
      <c r="B31" s="5" t="str">
        <f>Instructions!D20</f>
        <v>Material 1</v>
      </c>
      <c r="C31" s="5"/>
      <c r="D31" s="5"/>
      <c r="E31" s="20" t="s">
        <v>32</v>
      </c>
      <c r="F31" s="5"/>
      <c r="G31" s="47">
        <f t="shared" ref="G31:I35" si="0">$F24 * G$21</f>
        <v>2875.0000000000005</v>
      </c>
      <c r="H31" s="47">
        <f t="shared" si="0"/>
        <v>4600.0000000000009</v>
      </c>
      <c r="I31" s="47">
        <f t="shared" si="0"/>
        <v>3450.0000000000005</v>
      </c>
      <c r="J31" s="48">
        <f>SUM(G31:I31)</f>
        <v>10925.000000000002</v>
      </c>
      <c r="K31" s="47">
        <f t="shared" ref="K31:M35" si="1">$F24 * K$21</f>
        <v>4140.0000000000009</v>
      </c>
      <c r="L31" s="47">
        <f t="shared" si="1"/>
        <v>4600.0000000000009</v>
      </c>
      <c r="M31" s="47">
        <f t="shared" si="1"/>
        <v>4255.0000000000009</v>
      </c>
      <c r="N31" s="48">
        <f>SUM(K31:M31)</f>
        <v>12995.000000000004</v>
      </c>
      <c r="O31" s="47">
        <f t="shared" ref="O31:Q35" si="2">$F24 * O$21</f>
        <v>5750.0000000000009</v>
      </c>
      <c r="P31" s="47">
        <f t="shared" si="2"/>
        <v>5175.0000000000009</v>
      </c>
      <c r="Q31" s="47">
        <f t="shared" si="2"/>
        <v>4600.0000000000009</v>
      </c>
      <c r="R31" s="48">
        <f>SUM(O31:Q31)</f>
        <v>15525.000000000004</v>
      </c>
      <c r="S31" s="47">
        <f t="shared" ref="S31:U35" si="3">$F24 * S$21</f>
        <v>5750.0000000000009</v>
      </c>
      <c r="T31" s="47">
        <f t="shared" si="3"/>
        <v>6900.0000000000009</v>
      </c>
      <c r="U31" s="47">
        <f t="shared" si="3"/>
        <v>7130.0000000000009</v>
      </c>
      <c r="V31" s="48">
        <f>SUM(S31:U31)</f>
        <v>19780.000000000004</v>
      </c>
      <c r="W31" s="49">
        <f>J31+N31+R31+V31</f>
        <v>59225.000000000015</v>
      </c>
    </row>
    <row r="32" spans="2:23" ht="15" customHeight="1" thickBot="1" x14ac:dyDescent="0.2">
      <c r="B32" s="5" t="str">
        <f>Instructions!D21</f>
        <v>Material 2</v>
      </c>
      <c r="C32" s="5"/>
      <c r="D32" s="5"/>
      <c r="E32" s="20" t="s">
        <v>32</v>
      </c>
      <c r="F32" s="5"/>
      <c r="G32" s="47">
        <f t="shared" si="0"/>
        <v>4437.5</v>
      </c>
      <c r="H32" s="47">
        <f t="shared" si="0"/>
        <v>7100</v>
      </c>
      <c r="I32" s="47">
        <f t="shared" si="0"/>
        <v>5325</v>
      </c>
      <c r="J32" s="48">
        <f t="shared" ref="J32:J35" si="4">SUM(G32:I32)</f>
        <v>16862.5</v>
      </c>
      <c r="K32" s="47">
        <f t="shared" si="1"/>
        <v>6390</v>
      </c>
      <c r="L32" s="47">
        <f t="shared" si="1"/>
        <v>7100</v>
      </c>
      <c r="M32" s="47">
        <f t="shared" si="1"/>
        <v>6567.5</v>
      </c>
      <c r="N32" s="48">
        <f t="shared" ref="N32:N35" si="5">SUM(K32:M32)</f>
        <v>20057.5</v>
      </c>
      <c r="O32" s="47">
        <f t="shared" si="2"/>
        <v>8875</v>
      </c>
      <c r="P32" s="47">
        <f t="shared" si="2"/>
        <v>7987.5</v>
      </c>
      <c r="Q32" s="47">
        <f t="shared" si="2"/>
        <v>7100</v>
      </c>
      <c r="R32" s="48">
        <f t="shared" ref="R32:R35" si="6">SUM(O32:Q32)</f>
        <v>23962.5</v>
      </c>
      <c r="S32" s="47">
        <f t="shared" si="3"/>
        <v>8875</v>
      </c>
      <c r="T32" s="47">
        <f t="shared" si="3"/>
        <v>10650</v>
      </c>
      <c r="U32" s="47">
        <f t="shared" si="3"/>
        <v>11005</v>
      </c>
      <c r="V32" s="48">
        <f t="shared" ref="V32:V35" si="7">SUM(S32:U32)</f>
        <v>30530</v>
      </c>
      <c r="W32" s="49">
        <f t="shared" ref="W32:W35" si="8">J32+N32+R32+V32</f>
        <v>91412.5</v>
      </c>
    </row>
    <row r="33" spans="2:23" ht="15" customHeight="1" thickBot="1" x14ac:dyDescent="0.2">
      <c r="B33" s="5" t="str">
        <f>Instructions!D22</f>
        <v>Material 3</v>
      </c>
      <c r="C33" s="5"/>
      <c r="D33" s="5"/>
      <c r="E33" s="20" t="s">
        <v>32</v>
      </c>
      <c r="F33" s="5"/>
      <c r="G33" s="47">
        <f t="shared" si="0"/>
        <v>2437.5</v>
      </c>
      <c r="H33" s="47">
        <f t="shared" si="0"/>
        <v>3900.0000000000005</v>
      </c>
      <c r="I33" s="47">
        <f t="shared" si="0"/>
        <v>2925.0000000000005</v>
      </c>
      <c r="J33" s="48">
        <f t="shared" si="4"/>
        <v>9262.5</v>
      </c>
      <c r="K33" s="47">
        <f t="shared" si="1"/>
        <v>3510.0000000000005</v>
      </c>
      <c r="L33" s="47">
        <f t="shared" si="1"/>
        <v>3900.0000000000005</v>
      </c>
      <c r="M33" s="47">
        <f t="shared" si="1"/>
        <v>3607.5000000000005</v>
      </c>
      <c r="N33" s="48">
        <f t="shared" si="5"/>
        <v>11017.500000000002</v>
      </c>
      <c r="O33" s="47">
        <f t="shared" si="2"/>
        <v>4875</v>
      </c>
      <c r="P33" s="47">
        <f t="shared" si="2"/>
        <v>4387.5</v>
      </c>
      <c r="Q33" s="47">
        <f t="shared" si="2"/>
        <v>3900.0000000000005</v>
      </c>
      <c r="R33" s="48">
        <f t="shared" si="6"/>
        <v>13162.5</v>
      </c>
      <c r="S33" s="47">
        <f t="shared" si="3"/>
        <v>4875</v>
      </c>
      <c r="T33" s="47">
        <f t="shared" si="3"/>
        <v>5850.0000000000009</v>
      </c>
      <c r="U33" s="47">
        <f t="shared" si="3"/>
        <v>6045.0000000000009</v>
      </c>
      <c r="V33" s="48">
        <f t="shared" si="7"/>
        <v>16770</v>
      </c>
      <c r="W33" s="49">
        <f t="shared" si="8"/>
        <v>50212.5</v>
      </c>
    </row>
    <row r="34" spans="2:23" ht="15" customHeight="1" thickBot="1" x14ac:dyDescent="0.2">
      <c r="B34" s="5" t="str">
        <f>Instructions!D23</f>
        <v>Material 4</v>
      </c>
      <c r="C34" s="5"/>
      <c r="D34" s="5"/>
      <c r="E34" s="20" t="s">
        <v>32</v>
      </c>
      <c r="F34" s="5"/>
      <c r="G34" s="47">
        <f t="shared" si="0"/>
        <v>4625</v>
      </c>
      <c r="H34" s="47">
        <f t="shared" si="0"/>
        <v>7400</v>
      </c>
      <c r="I34" s="47">
        <f t="shared" si="0"/>
        <v>5550</v>
      </c>
      <c r="J34" s="48">
        <f t="shared" si="4"/>
        <v>17575</v>
      </c>
      <c r="K34" s="47">
        <f t="shared" si="1"/>
        <v>6660</v>
      </c>
      <c r="L34" s="47">
        <f t="shared" si="1"/>
        <v>7400</v>
      </c>
      <c r="M34" s="47">
        <f t="shared" si="1"/>
        <v>6845</v>
      </c>
      <c r="N34" s="48">
        <f t="shared" si="5"/>
        <v>20905</v>
      </c>
      <c r="O34" s="47">
        <f t="shared" si="2"/>
        <v>9250</v>
      </c>
      <c r="P34" s="47">
        <f t="shared" si="2"/>
        <v>8325</v>
      </c>
      <c r="Q34" s="47">
        <f t="shared" si="2"/>
        <v>7400</v>
      </c>
      <c r="R34" s="48">
        <f t="shared" si="6"/>
        <v>24975</v>
      </c>
      <c r="S34" s="47">
        <f t="shared" si="3"/>
        <v>9250</v>
      </c>
      <c r="T34" s="47">
        <f t="shared" si="3"/>
        <v>11100</v>
      </c>
      <c r="U34" s="47">
        <f t="shared" si="3"/>
        <v>11470</v>
      </c>
      <c r="V34" s="48">
        <f t="shared" si="7"/>
        <v>31820</v>
      </c>
      <c r="W34" s="49">
        <f t="shared" si="8"/>
        <v>95275</v>
      </c>
    </row>
    <row r="35" spans="2:23" ht="15" customHeight="1" thickBot="1" x14ac:dyDescent="0.2">
      <c r="B35" s="5" t="str">
        <f>Instructions!D24</f>
        <v>Material 5</v>
      </c>
      <c r="C35" s="5"/>
      <c r="D35" s="5"/>
      <c r="E35" s="20" t="s">
        <v>32</v>
      </c>
      <c r="F35" s="5"/>
      <c r="G35" s="47">
        <f t="shared" si="0"/>
        <v>1587.5</v>
      </c>
      <c r="H35" s="47">
        <f t="shared" si="0"/>
        <v>2540</v>
      </c>
      <c r="I35" s="47">
        <f t="shared" si="0"/>
        <v>1905</v>
      </c>
      <c r="J35" s="48">
        <f t="shared" si="4"/>
        <v>6032.5</v>
      </c>
      <c r="K35" s="47">
        <f t="shared" si="1"/>
        <v>2286</v>
      </c>
      <c r="L35" s="47">
        <f t="shared" si="1"/>
        <v>2540</v>
      </c>
      <c r="M35" s="47">
        <f t="shared" si="1"/>
        <v>2349.5</v>
      </c>
      <c r="N35" s="48">
        <f t="shared" si="5"/>
        <v>7175.5</v>
      </c>
      <c r="O35" s="47">
        <f t="shared" si="2"/>
        <v>3175</v>
      </c>
      <c r="P35" s="47">
        <f t="shared" si="2"/>
        <v>2857.5</v>
      </c>
      <c r="Q35" s="47">
        <f t="shared" si="2"/>
        <v>2540</v>
      </c>
      <c r="R35" s="48">
        <f t="shared" si="6"/>
        <v>8572.5</v>
      </c>
      <c r="S35" s="47">
        <f t="shared" si="3"/>
        <v>3175</v>
      </c>
      <c r="T35" s="47">
        <f t="shared" si="3"/>
        <v>3810</v>
      </c>
      <c r="U35" s="47">
        <f t="shared" si="3"/>
        <v>3937</v>
      </c>
      <c r="V35" s="48">
        <f t="shared" si="7"/>
        <v>10922</v>
      </c>
      <c r="W35" s="49">
        <f t="shared" si="8"/>
        <v>32702.5</v>
      </c>
    </row>
    <row r="37" spans="2:23" ht="20" customHeight="1" thickBot="1" x14ac:dyDescent="0.2">
      <c r="B37" s="8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ht="15" customHeight="1" thickBot="1" x14ac:dyDescent="0.2">
      <c r="B38" s="5" t="str">
        <f>Instructions!D20</f>
        <v>Material 1</v>
      </c>
      <c r="C38" s="5"/>
      <c r="D38" s="5"/>
      <c r="E38" s="5"/>
      <c r="F38" s="5"/>
      <c r="G38" s="29">
        <f>G31 * 'Product Construction'!E22</f>
        <v>28750.000000000004</v>
      </c>
      <c r="H38" s="29">
        <f>H31 * 'Product Construction'!F22</f>
        <v>46920.000000000007</v>
      </c>
      <c r="I38" s="29">
        <f>I31 * 'Product Construction'!G22</f>
        <v>35880.000000000007</v>
      </c>
      <c r="J38" s="30">
        <f>SUM(G38:I38)</f>
        <v>111550.00000000003</v>
      </c>
      <c r="K38" s="29">
        <f>K31 * 'Product Construction'!H22</f>
        <v>43884.000000000007</v>
      </c>
      <c r="L38" s="29">
        <f>L31 * 'Product Construction'!I22</f>
        <v>49680.000000000015</v>
      </c>
      <c r="M38" s="29">
        <f>M31 * 'Product Construction'!J22</f>
        <v>46805.000000000007</v>
      </c>
      <c r="N38" s="30">
        <f>SUM(K38:M38)</f>
        <v>140369.00000000003</v>
      </c>
      <c r="O38" s="29">
        <f>O31 * 'Product Construction'!K22</f>
        <v>64400.000000000007</v>
      </c>
      <c r="P38" s="29">
        <f>P31 * 'Product Construction'!L22</f>
        <v>58995.000000000015</v>
      </c>
      <c r="Q38" s="29">
        <f>Q31 * 'Product Construction'!M22</f>
        <v>53360.000000000007</v>
      </c>
      <c r="R38" s="30">
        <f>SUM(O38:Q38)</f>
        <v>176755.00000000003</v>
      </c>
      <c r="S38" s="29">
        <f>S31 * 'Product Construction'!N22</f>
        <v>67850.000000000015</v>
      </c>
      <c r="T38" s="29">
        <f>T31 * 'Product Construction'!O22</f>
        <v>82800.000000000015</v>
      </c>
      <c r="U38" s="29">
        <f>U31 * 'Product Construction'!P22</f>
        <v>86986</v>
      </c>
      <c r="V38" s="30">
        <f>SUM(S38:U38)</f>
        <v>237636.00000000003</v>
      </c>
      <c r="W38" s="31">
        <f>J38+N38+R38+V38</f>
        <v>666310.00000000012</v>
      </c>
    </row>
    <row r="39" spans="2:23" ht="15" customHeight="1" thickBot="1" x14ac:dyDescent="0.2">
      <c r="B39" s="5" t="str">
        <f>Instructions!D21</f>
        <v>Material 2</v>
      </c>
      <c r="C39" s="5"/>
      <c r="D39" s="5"/>
      <c r="E39" s="5"/>
      <c r="F39" s="5"/>
      <c r="G39" s="29">
        <f>G32 * 'Product Construction'!E23</f>
        <v>22187.5</v>
      </c>
      <c r="H39" s="29">
        <f>H32 * 'Product Construction'!F23</f>
        <v>39050</v>
      </c>
      <c r="I39" s="29">
        <f>I32 * 'Product Construction'!G23</f>
        <v>31950</v>
      </c>
      <c r="J39" s="30">
        <f t="shared" ref="J39:J42" si="9">SUM(G39:I39)</f>
        <v>93187.5</v>
      </c>
      <c r="K39" s="29">
        <f>K32 * 'Product Construction'!H23</f>
        <v>41535</v>
      </c>
      <c r="L39" s="29">
        <f>L32 * 'Product Construction'!I23</f>
        <v>49700</v>
      </c>
      <c r="M39" s="29">
        <f>M32 * 'Product Construction'!J23</f>
        <v>49256.25</v>
      </c>
      <c r="N39" s="30">
        <f t="shared" ref="N39:N42" si="10">SUM(K39:M39)</f>
        <v>140491.25</v>
      </c>
      <c r="O39" s="29">
        <f>O32 * 'Product Construction'!K23</f>
        <v>71000</v>
      </c>
      <c r="P39" s="29">
        <f>P32 * 'Product Construction'!L23</f>
        <v>67893.75</v>
      </c>
      <c r="Q39" s="29">
        <f>Q32 * 'Product Construction'!M23</f>
        <v>63900</v>
      </c>
      <c r="R39" s="30">
        <f t="shared" ref="R39:R42" si="11">SUM(O39:Q39)</f>
        <v>202793.75</v>
      </c>
      <c r="S39" s="29">
        <f>S32 * 'Product Construction'!N23</f>
        <v>84312.5</v>
      </c>
      <c r="T39" s="29">
        <f>T32 * 'Product Construction'!O23</f>
        <v>106500</v>
      </c>
      <c r="U39" s="29">
        <f>U32 * 'Product Construction'!P23</f>
        <v>115552.5</v>
      </c>
      <c r="V39" s="30">
        <f t="shared" ref="V39:V42" si="12">SUM(S39:U39)</f>
        <v>306365</v>
      </c>
      <c r="W39" s="31">
        <f t="shared" ref="W39:W42" si="13">J39+N39+R39+V39</f>
        <v>742837.5</v>
      </c>
    </row>
    <row r="40" spans="2:23" ht="15" customHeight="1" thickBot="1" x14ac:dyDescent="0.2">
      <c r="B40" s="5" t="str">
        <f>Instructions!D22</f>
        <v>Material 3</v>
      </c>
      <c r="C40" s="5"/>
      <c r="D40" s="5"/>
      <c r="E40" s="5"/>
      <c r="F40" s="5"/>
      <c r="G40" s="29">
        <f>G33 * 'Product Construction'!E24</f>
        <v>6093.75</v>
      </c>
      <c r="H40" s="29">
        <f>H33 * 'Product Construction'!F24</f>
        <v>10725.000000000002</v>
      </c>
      <c r="I40" s="29">
        <f>I33 * 'Product Construction'!G24</f>
        <v>8775.0000000000018</v>
      </c>
      <c r="J40" s="30">
        <f t="shared" si="9"/>
        <v>25593.75</v>
      </c>
      <c r="K40" s="29">
        <f>K33 * 'Product Construction'!H24</f>
        <v>11407.500000000002</v>
      </c>
      <c r="L40" s="29">
        <f>L33 * 'Product Construction'!I24</f>
        <v>13650.000000000002</v>
      </c>
      <c r="M40" s="29">
        <f>M33 * 'Product Construction'!J24</f>
        <v>13528.125000000002</v>
      </c>
      <c r="N40" s="30">
        <f t="shared" si="10"/>
        <v>38585.625000000007</v>
      </c>
      <c r="O40" s="29">
        <f>O33 * 'Product Construction'!K24</f>
        <v>19500</v>
      </c>
      <c r="P40" s="29">
        <f>P33 * 'Product Construction'!L24</f>
        <v>18646.875</v>
      </c>
      <c r="Q40" s="29">
        <f>Q33 * 'Product Construction'!M24</f>
        <v>17550.000000000004</v>
      </c>
      <c r="R40" s="30">
        <f t="shared" si="11"/>
        <v>55696.875</v>
      </c>
      <c r="S40" s="29">
        <f>S33 * 'Product Construction'!N24</f>
        <v>23156.25</v>
      </c>
      <c r="T40" s="29">
        <f>T33 * 'Product Construction'!O24</f>
        <v>29250.000000000004</v>
      </c>
      <c r="U40" s="29">
        <f>U33 * 'Product Construction'!P24</f>
        <v>31736.250000000004</v>
      </c>
      <c r="V40" s="30">
        <f t="shared" si="12"/>
        <v>84142.5</v>
      </c>
      <c r="W40" s="31">
        <f t="shared" si="13"/>
        <v>204018.75</v>
      </c>
    </row>
    <row r="41" spans="2:23" ht="15" customHeight="1" thickBot="1" x14ac:dyDescent="0.2">
      <c r="B41" s="5" t="str">
        <f>Instructions!D23</f>
        <v>Material 4</v>
      </c>
      <c r="C41" s="5"/>
      <c r="D41" s="5"/>
      <c r="E41" s="5"/>
      <c r="F41" s="5"/>
      <c r="G41" s="29">
        <f>G34 * 'Product Construction'!E25</f>
        <v>34687.5</v>
      </c>
      <c r="H41" s="29">
        <f>H34 * 'Product Construction'!F25</f>
        <v>55870</v>
      </c>
      <c r="I41" s="29">
        <f>I34 * 'Product Construction'!G25</f>
        <v>42180</v>
      </c>
      <c r="J41" s="30">
        <f t="shared" si="9"/>
        <v>132737.5</v>
      </c>
      <c r="K41" s="29">
        <f>K34 * 'Product Construction'!H25</f>
        <v>50949</v>
      </c>
      <c r="L41" s="29">
        <f>L34 * 'Product Construction'!I25</f>
        <v>56980</v>
      </c>
      <c r="M41" s="29">
        <f>M34 * 'Product Construction'!J25</f>
        <v>53048.75</v>
      </c>
      <c r="N41" s="30">
        <f t="shared" si="10"/>
        <v>160977.75</v>
      </c>
      <c r="O41" s="29">
        <f>O34 * 'Product Construction'!K25</f>
        <v>72150</v>
      </c>
      <c r="P41" s="29">
        <f>P34 * 'Product Construction'!L25</f>
        <v>65351.25</v>
      </c>
      <c r="Q41" s="29">
        <f>Q34 * 'Product Construction'!M25</f>
        <v>58460</v>
      </c>
      <c r="R41" s="30">
        <f t="shared" si="11"/>
        <v>195961.25</v>
      </c>
      <c r="S41" s="29">
        <f>S34 * 'Product Construction'!N25</f>
        <v>73537.5</v>
      </c>
      <c r="T41" s="29">
        <f>T34 * 'Product Construction'!O25</f>
        <v>88800</v>
      </c>
      <c r="U41" s="29">
        <f>U34 * 'Product Construction'!P25</f>
        <v>92333.500000000015</v>
      </c>
      <c r="V41" s="30">
        <f t="shared" si="12"/>
        <v>254671</v>
      </c>
      <c r="W41" s="31">
        <f t="shared" si="13"/>
        <v>744347.5</v>
      </c>
    </row>
    <row r="42" spans="2:23" ht="15" customHeight="1" thickBot="1" x14ac:dyDescent="0.2">
      <c r="B42" s="5" t="str">
        <f>Instructions!D24</f>
        <v>Material 5</v>
      </c>
      <c r="C42" s="5"/>
      <c r="D42" s="5"/>
      <c r="E42" s="5"/>
      <c r="F42" s="5"/>
      <c r="G42" s="29">
        <f>G35 * 'Product Construction'!E26</f>
        <v>1587.5</v>
      </c>
      <c r="H42" s="29">
        <f>H35 * 'Product Construction'!F26</f>
        <v>2794</v>
      </c>
      <c r="I42" s="29">
        <f>I35 * 'Product Construction'!G26</f>
        <v>2286</v>
      </c>
      <c r="J42" s="30">
        <f t="shared" si="9"/>
        <v>6667.5</v>
      </c>
      <c r="K42" s="29">
        <f>K35 * 'Product Construction'!H26</f>
        <v>2971.8</v>
      </c>
      <c r="L42" s="29">
        <f>L35 * 'Product Construction'!I26</f>
        <v>3556</v>
      </c>
      <c r="M42" s="29">
        <f>M35 * 'Product Construction'!J26</f>
        <v>3524.25</v>
      </c>
      <c r="N42" s="30">
        <f t="shared" si="10"/>
        <v>10052.049999999999</v>
      </c>
      <c r="O42" s="29">
        <f>O35 * 'Product Construction'!K26</f>
        <v>5080</v>
      </c>
      <c r="P42" s="29">
        <f>P35 * 'Product Construction'!L26</f>
        <v>4857.75</v>
      </c>
      <c r="Q42" s="29">
        <f>Q35 * 'Product Construction'!M26</f>
        <v>4572</v>
      </c>
      <c r="R42" s="30">
        <f t="shared" si="11"/>
        <v>14509.75</v>
      </c>
      <c r="S42" s="29">
        <f>S35 * 'Product Construction'!N26</f>
        <v>6032.5</v>
      </c>
      <c r="T42" s="29">
        <f>T35 * 'Product Construction'!O26</f>
        <v>7620</v>
      </c>
      <c r="U42" s="29">
        <f>U35 * 'Product Construction'!P26</f>
        <v>8267.7000000000007</v>
      </c>
      <c r="V42" s="30">
        <f t="shared" si="12"/>
        <v>21920.2</v>
      </c>
      <c r="W42" s="31">
        <f t="shared" si="13"/>
        <v>53149.5</v>
      </c>
    </row>
    <row r="43" spans="2:23" ht="20" customHeight="1" thickTop="1" thickBot="1" x14ac:dyDescent="0.2">
      <c r="B43" s="27" t="s">
        <v>36</v>
      </c>
      <c r="C43" s="26"/>
      <c r="D43" s="26"/>
      <c r="E43" s="26"/>
      <c r="F43" s="26"/>
      <c r="G43" s="32">
        <f>SUM(G38:G42)</f>
        <v>93306.25</v>
      </c>
      <c r="H43" s="32">
        <f t="shared" ref="H43:W43" si="14">SUM(H38:H42)</f>
        <v>155359</v>
      </c>
      <c r="I43" s="32">
        <f t="shared" si="14"/>
        <v>121071</v>
      </c>
      <c r="J43" s="33">
        <f t="shared" si="14"/>
        <v>369736.25</v>
      </c>
      <c r="K43" s="32">
        <f t="shared" si="14"/>
        <v>150747.29999999999</v>
      </c>
      <c r="L43" s="32">
        <f t="shared" si="14"/>
        <v>173566</v>
      </c>
      <c r="M43" s="32">
        <f t="shared" si="14"/>
        <v>166162.375</v>
      </c>
      <c r="N43" s="33">
        <f t="shared" si="14"/>
        <v>490475.67499999999</v>
      </c>
      <c r="O43" s="32">
        <f t="shared" si="14"/>
        <v>232130</v>
      </c>
      <c r="P43" s="32">
        <f t="shared" si="14"/>
        <v>215744.625</v>
      </c>
      <c r="Q43" s="32">
        <f t="shared" si="14"/>
        <v>197842</v>
      </c>
      <c r="R43" s="33">
        <f t="shared" si="14"/>
        <v>645716.625</v>
      </c>
      <c r="S43" s="32">
        <f t="shared" si="14"/>
        <v>254888.75</v>
      </c>
      <c r="T43" s="32">
        <f t="shared" si="14"/>
        <v>314970</v>
      </c>
      <c r="U43" s="32">
        <f t="shared" si="14"/>
        <v>334875.95</v>
      </c>
      <c r="V43" s="33">
        <f t="shared" si="14"/>
        <v>904734.7</v>
      </c>
      <c r="W43" s="34">
        <f t="shared" si="14"/>
        <v>2410663.25</v>
      </c>
    </row>
  </sheetData>
  <phoneticPr fontId="30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29E90C-280D-4C28-A866-9E5A42539B06}">
          <x14:formula1>
            <xm:f>Instructions!$B$20:$B$32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Product Construction</vt:lpstr>
      <vt:lpstr>Bill of Materials</vt:lpstr>
      <vt:lpstr>Sel_Product</vt:lpstr>
      <vt:lpstr>Sel_Year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Zintis</dc:creator>
  <cp:lastModifiedBy>Aatharsha Jeyachelvan</cp:lastModifiedBy>
  <dcterms:created xsi:type="dcterms:W3CDTF">2021-10-28T20:25:21Z</dcterms:created>
  <dcterms:modified xsi:type="dcterms:W3CDTF">2022-12-05T08:06:36Z</dcterms:modified>
</cp:coreProperties>
</file>